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uent\OneDrive\Desktop\6C Excel Docs\"/>
    </mc:Choice>
  </mc:AlternateContent>
  <bookViews>
    <workbookView xWindow="0" yWindow="0" windowWidth="38400" windowHeight="13815" tabRatio="703" activeTab="17"/>
  </bookViews>
  <sheets>
    <sheet name="Instructions" sheetId="3" r:id="rId1"/>
    <sheet name="Point Grid" sheetId="1" r:id="rId2"/>
    <sheet name="1" sheetId="2" r:id="rId3"/>
    <sheet name="2" sheetId="4" r:id="rId4"/>
    <sheet name="3" sheetId="5" r:id="rId5"/>
    <sheet name="4" sheetId="53" r:id="rId6"/>
    <sheet name="5" sheetId="52" r:id="rId7"/>
    <sheet name="6" sheetId="51" r:id="rId8"/>
    <sheet name="7" sheetId="50" r:id="rId9"/>
    <sheet name="8" sheetId="49" r:id="rId10"/>
    <sheet name="9" sheetId="42" r:id="rId11"/>
    <sheet name="10" sheetId="41" r:id="rId12"/>
    <sheet name="11" sheetId="56" r:id="rId13"/>
    <sheet name="12" sheetId="39" r:id="rId14"/>
    <sheet name="13" sheetId="38" r:id="rId15"/>
    <sheet name="14" sheetId="37" r:id="rId16"/>
    <sheet name="15" sheetId="36" r:id="rId17"/>
    <sheet name="16" sheetId="35" r:id="rId18"/>
    <sheet name="17" sheetId="55" r:id="rId19"/>
    <sheet name="18" sheetId="20" r:id="rId20"/>
    <sheet name="19" sheetId="21" r:id="rId21"/>
    <sheet name="20" sheetId="22" r:id="rId22"/>
    <sheet name="21" sheetId="23" r:id="rId23"/>
    <sheet name="22" sheetId="30" r:id="rId24"/>
    <sheet name="23" sheetId="29" r:id="rId25"/>
    <sheet name="24" sheetId="28" r:id="rId26"/>
    <sheet name="25" sheetId="27" r:id="rId27"/>
    <sheet name="26" sheetId="26" r:id="rId28"/>
    <sheet name="27" sheetId="25" r:id="rId29"/>
    <sheet name="28" sheetId="24" r:id="rId30"/>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0" i="35" l="1"/>
  <c r="V111" i="35"/>
  <c r="T95" i="35" l="1"/>
  <c r="S92" i="35"/>
  <c r="U7" i="35"/>
  <c r="U12" i="35" s="1"/>
  <c r="O32" i="1" l="1"/>
  <c r="N32" i="1"/>
  <c r="M32" i="1"/>
  <c r="Q30" i="1"/>
  <c r="P30" i="1"/>
  <c r="O30" i="1"/>
  <c r="N30" i="1"/>
  <c r="M30" i="1"/>
  <c r="M2" i="1"/>
  <c r="AA36" i="29"/>
  <c r="V24" i="29"/>
  <c r="V23" i="29"/>
  <c r="X5" i="29"/>
  <c r="X4" i="29"/>
  <c r="A19" i="29"/>
  <c r="A35" i="29"/>
  <c r="A31" i="29"/>
  <c r="A27" i="29"/>
  <c r="A23" i="29"/>
  <c r="Q31" i="1"/>
  <c r="P31" i="1"/>
  <c r="N31" i="1"/>
  <c r="S14" i="28"/>
  <c r="S15" i="28" s="1"/>
  <c r="A30" i="28"/>
  <c r="A26" i="28"/>
  <c r="A21" i="28"/>
  <c r="A17" i="28"/>
  <c r="A13" i="28"/>
  <c r="P27" i="1"/>
  <c r="O27" i="1"/>
  <c r="N27" i="1"/>
  <c r="M27" i="1"/>
  <c r="N14" i="20"/>
  <c r="Q9" i="20"/>
  <c r="Q8" i="20"/>
  <c r="N5" i="20"/>
  <c r="N4" i="20"/>
  <c r="A29" i="20"/>
  <c r="A25" i="20"/>
  <c r="A19" i="20"/>
  <c r="Q23" i="1"/>
  <c r="P23" i="1"/>
  <c r="O23" i="1"/>
  <c r="N23" i="1"/>
  <c r="M23" i="1"/>
  <c r="A55" i="22"/>
  <c r="X72" i="22"/>
  <c r="W72" i="22"/>
  <c r="V72" i="22"/>
  <c r="U72" i="22"/>
  <c r="T72" i="22"/>
  <c r="U36" i="22"/>
  <c r="U37" i="22"/>
  <c r="T35" i="22"/>
  <c r="T36" i="22"/>
  <c r="T37" i="22"/>
  <c r="T38" i="22"/>
  <c r="T34" i="22"/>
  <c r="T10" i="22"/>
  <c r="U35" i="22" s="1"/>
  <c r="T11" i="22"/>
  <c r="T12" i="22"/>
  <c r="T13" i="22"/>
  <c r="U38" i="22" s="1"/>
  <c r="T9" i="22"/>
  <c r="U34" i="22" s="1"/>
  <c r="V34" i="22" s="1"/>
  <c r="A51" i="22" l="1"/>
  <c r="A47" i="22"/>
  <c r="A43" i="22" l="1"/>
  <c r="U52" i="35" l="1"/>
  <c r="W37" i="35"/>
  <c r="W36" i="35"/>
  <c r="W32" i="35"/>
  <c r="W33" i="35" s="1"/>
  <c r="T74" i="35" s="1"/>
  <c r="U15" i="35"/>
  <c r="U45" i="35" l="1"/>
  <c r="U87" i="35" s="1"/>
  <c r="T71" i="35"/>
  <c r="T70" i="35"/>
  <c r="T69" i="35"/>
  <c r="T68" i="35"/>
  <c r="T65" i="35"/>
  <c r="T67" i="35"/>
  <c r="T82" i="35"/>
  <c r="T66" i="35"/>
  <c r="T81" i="35"/>
  <c r="T73" i="35"/>
  <c r="T72" i="35"/>
  <c r="T79" i="35"/>
  <c r="U14" i="35"/>
  <c r="T76" i="35"/>
  <c r="U13" i="35"/>
  <c r="T75" i="35"/>
  <c r="T80" i="35"/>
  <c r="U16" i="35"/>
  <c r="T78" i="35"/>
  <c r="T77" i="35"/>
  <c r="U65" i="35" l="1"/>
  <c r="V103" i="35"/>
  <c r="V108" i="35" s="1"/>
  <c r="V65" i="35"/>
  <c r="T87" i="35"/>
  <c r="U81" i="35"/>
  <c r="V12" i="35"/>
  <c r="V81" i="35"/>
  <c r="V80" i="35"/>
  <c r="V78" i="35"/>
  <c r="V76" i="35"/>
  <c r="V74" i="35"/>
  <c r="V73" i="35"/>
  <c r="V72" i="35"/>
  <c r="V70" i="35"/>
  <c r="V69" i="35"/>
  <c r="V68" i="35"/>
  <c r="V67" i="35"/>
  <c r="V66" i="35"/>
  <c r="V16" i="35"/>
  <c r="V15" i="35"/>
  <c r="V14" i="35"/>
  <c r="V13" i="35"/>
  <c r="A99" i="35"/>
  <c r="A95" i="35"/>
  <c r="A88" i="35"/>
  <c r="A81" i="35"/>
  <c r="A77" i="35"/>
  <c r="U74" i="35" l="1"/>
  <c r="U57" i="35"/>
  <c r="AF57" i="35"/>
  <c r="W74" i="35"/>
  <c r="V57" i="35"/>
  <c r="X57" i="35"/>
  <c r="Y57" i="35"/>
  <c r="W68" i="35"/>
  <c r="AB57" i="35"/>
  <c r="W70" i="35"/>
  <c r="AD57" i="35"/>
  <c r="W73" i="35"/>
  <c r="T57" i="35"/>
  <c r="W75" i="35"/>
  <c r="W57" i="35"/>
  <c r="W66" i="35"/>
  <c r="Z57" i="35"/>
  <c r="W69" i="35"/>
  <c r="AC57" i="35"/>
  <c r="W72" i="35"/>
  <c r="W76" i="35"/>
  <c r="W65" i="35"/>
  <c r="W67" i="35"/>
  <c r="AA57" i="35"/>
  <c r="W71" i="35"/>
  <c r="AE57" i="35"/>
  <c r="U82" i="35"/>
  <c r="AH57" i="35"/>
  <c r="W79" i="35"/>
  <c r="AL57" i="35"/>
  <c r="AI57" i="35"/>
  <c r="AK57" i="35"/>
  <c r="W80" i="35"/>
  <c r="W81" i="35"/>
  <c r="AJ57" i="35"/>
  <c r="W78" i="35"/>
  <c r="AG57" i="35"/>
  <c r="W77" i="35"/>
  <c r="W82" i="35"/>
  <c r="U69" i="35"/>
  <c r="U75" i="35"/>
  <c r="U77" i="35"/>
  <c r="U79" i="35"/>
  <c r="U76" i="35"/>
  <c r="U80" i="35"/>
  <c r="U73" i="35"/>
  <c r="U66" i="35"/>
  <c r="U83" i="35" s="1"/>
  <c r="U72" i="35"/>
  <c r="U68" i="35"/>
  <c r="U71" i="35"/>
  <c r="U67" i="35"/>
  <c r="U78" i="35"/>
  <c r="U70" i="35"/>
  <c r="T88" i="35"/>
  <c r="U46" i="35"/>
  <c r="U47" i="35" s="1"/>
  <c r="U48" i="35" s="1"/>
  <c r="V82" i="35"/>
  <c r="T83" i="35"/>
  <c r="V77" i="35"/>
  <c r="V71" i="35"/>
  <c r="V75" i="35"/>
  <c r="V79" i="35"/>
  <c r="O12" i="1"/>
  <c r="A21" i="52"/>
  <c r="A11" i="52"/>
  <c r="A7" i="52"/>
  <c r="U52" i="22"/>
  <c r="V38" i="22"/>
  <c r="V37" i="22"/>
  <c r="W37" i="22" s="1"/>
  <c r="X37" i="22" s="1"/>
  <c r="Y37" i="22" s="1"/>
  <c r="V36" i="22"/>
  <c r="V35" i="22"/>
  <c r="A11" i="4"/>
  <c r="A7" i="4"/>
  <c r="T11" i="42"/>
  <c r="T12" i="42"/>
  <c r="T13" i="42"/>
  <c r="T14" i="42"/>
  <c r="T10" i="42"/>
  <c r="S11" i="42"/>
  <c r="S12" i="42"/>
  <c r="S13" i="42"/>
  <c r="U13" i="42" s="1"/>
  <c r="V13" i="42" s="1"/>
  <c r="W13" i="42" s="1"/>
  <c r="T27" i="42" s="1"/>
  <c r="U27" i="42" s="1"/>
  <c r="V27" i="42" s="1"/>
  <c r="S14" i="42"/>
  <c r="U14" i="42" s="1"/>
  <c r="V14" i="42" s="1"/>
  <c r="W14" i="42" s="1"/>
  <c r="T28" i="42" s="1"/>
  <c r="U28" i="42" s="1"/>
  <c r="V28" i="42" s="1"/>
  <c r="S10" i="42"/>
  <c r="S25" i="42"/>
  <c r="S26" i="42"/>
  <c r="S27" i="42"/>
  <c r="S28" i="42"/>
  <c r="S24" i="42"/>
  <c r="O16" i="1"/>
  <c r="N16" i="1"/>
  <c r="M16" i="1"/>
  <c r="A46" i="42"/>
  <c r="A42" i="42"/>
  <c r="A38" i="42"/>
  <c r="U12" i="42"/>
  <c r="V12" i="42" s="1"/>
  <c r="W12" i="42" s="1"/>
  <c r="T26" i="42" s="1"/>
  <c r="U26" i="42" s="1"/>
  <c r="V26" i="42" s="1"/>
  <c r="U11" i="42"/>
  <c r="V11" i="42" s="1"/>
  <c r="W11" i="42" s="1"/>
  <c r="T25" i="42" s="1"/>
  <c r="U25" i="42" s="1"/>
  <c r="V25" i="42" s="1"/>
  <c r="AM57" i="35" l="1"/>
  <c r="U10" i="42"/>
  <c r="V10" i="42" s="1"/>
  <c r="W10" i="42" s="1"/>
  <c r="T24" i="42" s="1"/>
  <c r="T59" i="22"/>
  <c r="W71" i="22" s="1"/>
  <c r="W73" i="22" s="1"/>
  <c r="W34" i="22"/>
  <c r="X34" i="22" s="1"/>
  <c r="Y34" i="22" s="1"/>
  <c r="T56" i="22" s="1"/>
  <c r="T71" i="22" s="1"/>
  <c r="T73" i="22" s="1"/>
  <c r="W38" i="22"/>
  <c r="X38" i="22" s="1"/>
  <c r="Y38" i="22" s="1"/>
  <c r="T60" i="22" s="1"/>
  <c r="X71" i="22" s="1"/>
  <c r="X73" i="22" s="1"/>
  <c r="W36" i="22"/>
  <c r="X36" i="22" s="1"/>
  <c r="Y36" i="22" s="1"/>
  <c r="T58" i="22" s="1"/>
  <c r="V71" i="22" s="1"/>
  <c r="V73" i="22" s="1"/>
  <c r="W83" i="35"/>
  <c r="V83" i="35"/>
  <c r="W35" i="22"/>
  <c r="X35" i="22" s="1"/>
  <c r="Y35" i="22" s="1"/>
  <c r="T57" i="22" s="1"/>
  <c r="U71" i="22" s="1"/>
  <c r="U73" i="22" s="1"/>
  <c r="V24" i="42" l="1"/>
  <c r="V29" i="42" s="1"/>
  <c r="U24" i="42"/>
  <c r="U77" i="22"/>
  <c r="V82" i="22" s="1"/>
  <c r="U88" i="35"/>
  <c r="V88" i="35" l="1"/>
  <c r="T93" i="35" s="1"/>
  <c r="V87" i="35"/>
  <c r="V107" i="35" l="1"/>
  <c r="V109" i="35" s="1"/>
  <c r="A20" i="27"/>
  <c r="A16" i="27"/>
  <c r="A12" i="27"/>
  <c r="N22" i="1" l="1"/>
  <c r="M22" i="1"/>
  <c r="O21" i="1" l="1"/>
  <c r="N21" i="1"/>
  <c r="M21" i="1"/>
  <c r="U34" i="37"/>
  <c r="R34" i="37"/>
  <c r="T28" i="37"/>
  <c r="S23" i="37"/>
  <c r="V19" i="37"/>
  <c r="S19" i="37"/>
  <c r="U21" i="37" s="1"/>
  <c r="V18" i="37"/>
  <c r="S18" i="37"/>
  <c r="S11" i="37"/>
  <c r="V10" i="37"/>
  <c r="S10" i="37"/>
  <c r="R11" i="37" s="1"/>
  <c r="S21" i="37" l="1"/>
  <c r="R23" i="37" s="1"/>
  <c r="R28" i="37" s="1"/>
  <c r="R29" i="37" s="1"/>
  <c r="W34" i="37" s="1"/>
  <c r="R35" i="37" s="1"/>
  <c r="A7" i="38" l="1"/>
  <c r="U4" i="39" l="1"/>
  <c r="S4" i="39"/>
  <c r="T5" i="39" s="1"/>
  <c r="W6" i="39" s="1"/>
  <c r="Q18" i="1"/>
  <c r="P18" i="1"/>
  <c r="O18" i="1"/>
  <c r="N18" i="1"/>
  <c r="M18" i="1"/>
  <c r="P45" i="56"/>
  <c r="S35" i="56"/>
  <c r="Q35" i="56"/>
  <c r="S25" i="56"/>
  <c r="Q25" i="56"/>
  <c r="Q24" i="56"/>
  <c r="W15" i="56"/>
  <c r="U15" i="56"/>
  <c r="S15" i="56"/>
  <c r="Q15" i="56"/>
  <c r="S14" i="56"/>
  <c r="Q14" i="56"/>
  <c r="V6" i="56"/>
  <c r="T6" i="56"/>
  <c r="R6" i="56"/>
  <c r="P6" i="56"/>
  <c r="A23" i="56"/>
  <c r="A19" i="56"/>
  <c r="A15" i="56"/>
  <c r="A11" i="56"/>
  <c r="A7" i="56"/>
  <c r="O24" i="1"/>
  <c r="N24" i="1"/>
  <c r="M24" i="1"/>
  <c r="I24" i="55"/>
  <c r="I15" i="55"/>
  <c r="I26" i="55" s="1"/>
  <c r="Q76" i="55"/>
  <c r="Q75" i="55"/>
  <c r="V136" i="55"/>
  <c r="Q136" i="55"/>
  <c r="Q137" i="55" s="1"/>
  <c r="T143" i="55" s="1"/>
  <c r="V129" i="55"/>
  <c r="Q129" i="55"/>
  <c r="R111" i="55"/>
  <c r="P112" i="55" s="1"/>
  <c r="Q121" i="55" s="1"/>
  <c r="Q68" i="55" s="1"/>
  <c r="R106" i="55"/>
  <c r="Q120" i="55" s="1"/>
  <c r="Q67" i="55" s="1"/>
  <c r="R104" i="55"/>
  <c r="Q119" i="55" s="1"/>
  <c r="Q66" i="55" s="1"/>
  <c r="R100" i="55"/>
  <c r="P100" i="55"/>
  <c r="P101" i="55" s="1"/>
  <c r="Q118" i="55" s="1"/>
  <c r="Q65" i="55" s="1"/>
  <c r="R99" i="55"/>
  <c r="P99" i="55"/>
  <c r="W92" i="55"/>
  <c r="T92" i="55"/>
  <c r="P92" i="55"/>
  <c r="R42" i="55"/>
  <c r="R38" i="55"/>
  <c r="S34" i="55"/>
  <c r="N49" i="55" s="1"/>
  <c r="Q33" i="55"/>
  <c r="O33" i="55"/>
  <c r="S28" i="55"/>
  <c r="M28" i="55"/>
  <c r="S27" i="55"/>
  <c r="M27" i="55"/>
  <c r="S26" i="55"/>
  <c r="M26" i="55"/>
  <c r="S25" i="55"/>
  <c r="M25" i="55"/>
  <c r="S24" i="55"/>
  <c r="M24" i="55"/>
  <c r="R18" i="55"/>
  <c r="M18" i="55"/>
  <c r="R17" i="55"/>
  <c r="M17" i="55"/>
  <c r="S16" i="55"/>
  <c r="R16" i="55"/>
  <c r="M16" i="55"/>
  <c r="R15" i="55"/>
  <c r="M15" i="55"/>
  <c r="R14" i="55"/>
  <c r="M14" i="55"/>
  <c r="R13" i="55"/>
  <c r="M13" i="55"/>
  <c r="R12" i="55"/>
  <c r="M12" i="55"/>
  <c r="R11" i="55"/>
  <c r="M11" i="55"/>
  <c r="S10" i="55"/>
  <c r="M10" i="55"/>
  <c r="R9" i="55"/>
  <c r="M9" i="55"/>
  <c r="R8" i="55"/>
  <c r="M8" i="55"/>
  <c r="S176" i="55"/>
  <c r="Q176" i="55"/>
  <c r="U176" i="55" s="1"/>
  <c r="S175" i="55"/>
  <c r="Q175" i="55"/>
  <c r="U175" i="55" s="1"/>
  <c r="Q169" i="55"/>
  <c r="W169" i="55" s="1"/>
  <c r="Q168" i="55"/>
  <c r="W168" i="55" s="1"/>
  <c r="Q167" i="55"/>
  <c r="W167" i="55" s="1"/>
  <c r="Q166" i="55"/>
  <c r="W166" i="55" s="1"/>
  <c r="Q165" i="55"/>
  <c r="A94" i="55"/>
  <c r="Q78" i="55"/>
  <c r="V153" i="55" s="1"/>
  <c r="Q74" i="55"/>
  <c r="Q73" i="55"/>
  <c r="Q72" i="55"/>
  <c r="A40" i="55"/>
  <c r="A7" i="55"/>
  <c r="P93" i="55" l="1"/>
  <c r="Q117" i="55" s="1"/>
  <c r="P27" i="56"/>
  <c r="P17" i="56"/>
  <c r="P7" i="56"/>
  <c r="R36" i="56" s="1"/>
  <c r="P38" i="56" s="1"/>
  <c r="Q130" i="55"/>
  <c r="R143" i="55" s="1"/>
  <c r="Q144" i="55" s="1"/>
  <c r="Q71" i="55" s="1"/>
  <c r="Q70" i="55" s="1"/>
  <c r="W176" i="55"/>
  <c r="R19" i="55"/>
  <c r="S23" i="55" s="1"/>
  <c r="S29" i="55" s="1"/>
  <c r="P42" i="55" s="1"/>
  <c r="O43" i="55" s="1"/>
  <c r="O49" i="55" s="1"/>
  <c r="P49" i="55" s="1"/>
  <c r="S33" i="55"/>
  <c r="N48" i="55" s="1"/>
  <c r="W175" i="55"/>
  <c r="T198" i="55"/>
  <c r="Q122" i="55" l="1"/>
  <c r="Q64" i="55"/>
  <c r="Q63" i="55" s="1"/>
  <c r="R45" i="56"/>
  <c r="P47" i="56" s="1"/>
  <c r="V198" i="55"/>
  <c r="X198" i="55" s="1"/>
  <c r="P204" i="55" s="1"/>
  <c r="S153" i="55"/>
  <c r="W177" i="55"/>
  <c r="P183" i="55" s="1"/>
  <c r="N55" i="55"/>
  <c r="P38" i="55"/>
  <c r="O39" i="55" s="1"/>
  <c r="O48" i="55" s="1"/>
  <c r="P48" i="55" s="1"/>
  <c r="P50" i="55" s="1"/>
  <c r="P55" i="55" s="1"/>
  <c r="X200" i="55"/>
  <c r="R204" i="55" s="1"/>
  <c r="P153" i="55"/>
  <c r="P154" i="55" l="1"/>
  <c r="R160" i="55" s="1"/>
  <c r="V160" i="55" s="1"/>
  <c r="S189" i="55" s="1"/>
  <c r="N56" i="55"/>
  <c r="O211" i="55" s="1"/>
  <c r="T204" i="55"/>
  <c r="P205" i="55" s="1"/>
  <c r="Q82" i="55" s="1"/>
  <c r="W165" i="55"/>
  <c r="W170" i="55" s="1"/>
  <c r="P182" i="55" s="1"/>
  <c r="P184" i="55" s="1"/>
  <c r="Q189" i="55" s="1"/>
  <c r="P190" i="55" l="1"/>
  <c r="Q80" i="55" s="1"/>
  <c r="Q83" i="55" s="1"/>
  <c r="R211" i="55" s="1"/>
  <c r="O212" i="55" s="1"/>
  <c r="O214" i="55" s="1"/>
  <c r="O25" i="1" l="1"/>
  <c r="N25" i="1"/>
  <c r="M25" i="1"/>
  <c r="A7" i="49" l="1"/>
  <c r="S26" i="1" l="1"/>
  <c r="R26" i="1"/>
  <c r="Q26" i="1"/>
  <c r="P26" i="1"/>
  <c r="O26" i="1"/>
  <c r="N26" i="1"/>
  <c r="M26" i="1"/>
  <c r="N29" i="1"/>
  <c r="O29" i="1"/>
  <c r="P29" i="1"/>
  <c r="M29" i="1"/>
  <c r="A24" i="30"/>
  <c r="A20" i="30"/>
  <c r="A14" i="30"/>
  <c r="A10" i="30"/>
  <c r="A36" i="37"/>
  <c r="A49" i="21"/>
  <c r="A44" i="21"/>
  <c r="A40" i="21" l="1"/>
  <c r="A36" i="21"/>
  <c r="A32" i="21"/>
  <c r="V43" i="21"/>
  <c r="U43" i="21"/>
  <c r="T43" i="21"/>
  <c r="S43" i="21"/>
  <c r="R43" i="21"/>
  <c r="V42" i="21"/>
  <c r="U42" i="21"/>
  <c r="U44" i="21" s="1"/>
  <c r="T42" i="21"/>
  <c r="T44" i="21" s="1"/>
  <c r="S42" i="21"/>
  <c r="R42" i="21"/>
  <c r="V35" i="21"/>
  <c r="U35" i="21"/>
  <c r="T35" i="21"/>
  <c r="S35" i="21"/>
  <c r="R35" i="21"/>
  <c r="V34" i="21"/>
  <c r="V36" i="21" s="1"/>
  <c r="U34" i="21"/>
  <c r="T34" i="21"/>
  <c r="S34" i="21"/>
  <c r="S36" i="21" s="1"/>
  <c r="R34" i="21"/>
  <c r="R27" i="21"/>
  <c r="S27" i="21" s="1"/>
  <c r="T27" i="21" s="1"/>
  <c r="U27" i="21" s="1"/>
  <c r="V27" i="21" s="1"/>
  <c r="V26" i="21"/>
  <c r="U26" i="21"/>
  <c r="T26" i="21"/>
  <c r="S26" i="21"/>
  <c r="R26" i="21"/>
  <c r="R19" i="21"/>
  <c r="S19" i="21" s="1"/>
  <c r="V18" i="21"/>
  <c r="U18" i="21"/>
  <c r="T18" i="21"/>
  <c r="S18" i="21"/>
  <c r="R18" i="21"/>
  <c r="R20" i="21" s="1"/>
  <c r="R17" i="21"/>
  <c r="S17" i="21" s="1"/>
  <c r="T17" i="21" s="1"/>
  <c r="U17" i="21" s="1"/>
  <c r="V17" i="21" s="1"/>
  <c r="A11" i="21"/>
  <c r="A7" i="21"/>
  <c r="A11" i="36"/>
  <c r="A7" i="36"/>
  <c r="A32" i="37"/>
  <c r="A7" i="37"/>
  <c r="O20" i="1"/>
  <c r="N20" i="1"/>
  <c r="M20" i="1"/>
  <c r="A15" i="38"/>
  <c r="A11" i="38"/>
  <c r="S28" i="21" l="1"/>
  <c r="R28" i="21"/>
  <c r="T36" i="21"/>
  <c r="R44" i="21"/>
  <c r="V44" i="21"/>
  <c r="R36" i="21"/>
  <c r="V28" i="21"/>
  <c r="U36" i="21"/>
  <c r="S44" i="21"/>
  <c r="R25" i="21"/>
  <c r="R33" i="21" s="1"/>
  <c r="S33" i="21" s="1"/>
  <c r="T33" i="21" s="1"/>
  <c r="U33" i="21" s="1"/>
  <c r="V33" i="21" s="1"/>
  <c r="T28" i="21"/>
  <c r="S20" i="21"/>
  <c r="T19" i="21"/>
  <c r="U28" i="21"/>
  <c r="P19" i="1"/>
  <c r="O19" i="1"/>
  <c r="N19" i="1"/>
  <c r="D26" i="39"/>
  <c r="U27" i="39"/>
  <c r="P27" i="39"/>
  <c r="Q21" i="39"/>
  <c r="O21" i="39"/>
  <c r="A27" i="39"/>
  <c r="U15" i="39"/>
  <c r="S15" i="39"/>
  <c r="P15" i="39"/>
  <c r="A19" i="39"/>
  <c r="R11" i="39"/>
  <c r="P11" i="39"/>
  <c r="P12" i="39" s="1"/>
  <c r="A14" i="39"/>
  <c r="O22" i="39" l="1"/>
  <c r="S27" i="39" s="1"/>
  <c r="P28" i="39" s="1"/>
  <c r="S25" i="21"/>
  <c r="T25" i="21" s="1"/>
  <c r="U25" i="21" s="1"/>
  <c r="V25" i="21" s="1"/>
  <c r="P16" i="39"/>
  <c r="R41" i="21"/>
  <c r="S41" i="21" s="1"/>
  <c r="T41" i="21" s="1"/>
  <c r="U41" i="21" s="1"/>
  <c r="V41" i="21" s="1"/>
  <c r="T20" i="21"/>
  <c r="U19" i="21"/>
  <c r="V19" i="21" l="1"/>
  <c r="V20" i="21" s="1"/>
  <c r="U20" i="21"/>
  <c r="N15" i="1" l="1"/>
  <c r="O14" i="1"/>
  <c r="P14" i="1"/>
  <c r="A11" i="53"/>
  <c r="A7" i="53"/>
  <c r="A11" i="51"/>
  <c r="A7" i="51"/>
  <c r="S23" i="50"/>
  <c r="O23" i="50"/>
  <c r="O24" i="50" s="1"/>
  <c r="A19" i="50"/>
  <c r="A15" i="50"/>
  <c r="A11" i="50"/>
  <c r="A7" i="50"/>
  <c r="A15" i="49"/>
  <c r="A11" i="26" l="1"/>
  <c r="A7" i="26"/>
  <c r="O28" i="1" l="1"/>
  <c r="A18" i="23"/>
  <c r="N28" i="1"/>
  <c r="M28" i="1"/>
  <c r="A12" i="23"/>
  <c r="A7" i="23"/>
  <c r="O35" i="1" l="1"/>
  <c r="A23" i="24"/>
  <c r="P34" i="1"/>
  <c r="A29" i="25"/>
  <c r="O31" i="1"/>
  <c r="O13" i="1"/>
  <c r="P13" i="1"/>
  <c r="O11" i="1"/>
  <c r="N11" i="1"/>
  <c r="P8" i="1"/>
  <c r="M11" i="1"/>
  <c r="A19" i="2" l="1"/>
  <c r="N35" i="1" l="1"/>
  <c r="M35" i="1"/>
  <c r="O34" i="1"/>
  <c r="N34" i="1"/>
  <c r="M34" i="1"/>
  <c r="N33" i="1"/>
  <c r="M33" i="1"/>
  <c r="M31" i="1"/>
  <c r="M19" i="1"/>
  <c r="M17" i="1"/>
  <c r="M15" i="1"/>
  <c r="N14" i="1"/>
  <c r="M14" i="1"/>
  <c r="N13" i="1"/>
  <c r="M13" i="1"/>
  <c r="N12" i="1"/>
  <c r="M12" i="1"/>
  <c r="N10" i="1"/>
  <c r="M10" i="1"/>
  <c r="N9" i="1"/>
  <c r="M9" i="1"/>
  <c r="O8" i="1"/>
  <c r="N8" i="1"/>
  <c r="M8" i="1"/>
  <c r="A11" i="24" l="1"/>
  <c r="A7" i="24"/>
  <c r="A25" i="25"/>
  <c r="A21" i="25"/>
  <c r="A7" i="25"/>
  <c r="A7" i="41" l="1"/>
  <c r="A11" i="5"/>
  <c r="A7" i="5"/>
  <c r="A15" i="2"/>
  <c r="A11" i="2"/>
  <c r="A7" i="2"/>
  <c r="B35" i="1" l="1"/>
  <c r="A4" i="24" s="1"/>
  <c r="B34" i="1"/>
  <c r="A4" i="25" s="1"/>
  <c r="B33" i="1"/>
  <c r="A4" i="26" s="1"/>
  <c r="B32" i="1"/>
  <c r="A4" i="27" s="1"/>
  <c r="B31" i="1"/>
  <c r="B30" i="1"/>
  <c r="A4" i="29" s="1"/>
  <c r="B29" i="1"/>
  <c r="A4" i="30" s="1"/>
  <c r="B28" i="1"/>
  <c r="B27" i="1"/>
  <c r="A4" i="22" s="1"/>
  <c r="B26" i="1"/>
  <c r="A4" i="21" s="1"/>
  <c r="B25" i="1"/>
  <c r="A4" i="20" s="1"/>
  <c r="B24" i="1"/>
  <c r="A4" i="55" s="1"/>
  <c r="B23" i="1"/>
  <c r="A4" i="35" s="1"/>
  <c r="B22" i="1"/>
  <c r="A4" i="36" s="1"/>
  <c r="B21" i="1"/>
  <c r="A4" i="37" s="1"/>
  <c r="B20" i="1"/>
  <c r="A4" i="38" s="1"/>
  <c r="B19" i="1"/>
  <c r="A4" i="39" s="1"/>
  <c r="B18" i="1"/>
  <c r="B17" i="1"/>
  <c r="A4" i="41" s="1"/>
  <c r="B16" i="1"/>
  <c r="B15" i="1"/>
  <c r="B14" i="1"/>
  <c r="A4" i="50" s="1"/>
  <c r="B13" i="1"/>
  <c r="A4" i="51" s="1"/>
  <c r="B12" i="1"/>
  <c r="B11" i="1"/>
  <c r="A4" i="23" l="1"/>
  <c r="A4" i="28"/>
  <c r="A4" i="49"/>
  <c r="A4" i="42"/>
  <c r="A4" i="56"/>
  <c r="L26" i="1"/>
  <c r="T26" i="1" s="1"/>
  <c r="L35" i="1"/>
  <c r="T35" i="1" s="1"/>
  <c r="L34" i="1"/>
  <c r="T34" i="1" s="1"/>
  <c r="L33" i="1"/>
  <c r="T33" i="1" s="1"/>
  <c r="L32" i="1"/>
  <c r="T32" i="1" s="1"/>
  <c r="L31" i="1"/>
  <c r="T31" i="1" s="1"/>
  <c r="L30" i="1"/>
  <c r="T30" i="1" s="1"/>
  <c r="L29" i="1"/>
  <c r="T29" i="1" s="1"/>
  <c r="L28" i="1"/>
  <c r="T28" i="1" s="1"/>
  <c r="L27" i="1"/>
  <c r="T27" i="1" s="1"/>
  <c r="J26" i="1"/>
  <c r="J22" i="1"/>
  <c r="J33" i="1"/>
  <c r="J34" i="1"/>
  <c r="J32" i="1"/>
  <c r="J16" i="1"/>
  <c r="J27" i="1"/>
  <c r="J23" i="1"/>
  <c r="J28" i="1"/>
  <c r="J20" i="1"/>
  <c r="J15" i="1"/>
  <c r="J18" i="1"/>
  <c r="J11" i="1"/>
  <c r="J25" i="1"/>
  <c r="J17" i="1"/>
  <c r="J31" i="1"/>
  <c r="J30" i="1"/>
  <c r="J19" i="1"/>
  <c r="J13" i="1"/>
  <c r="J29" i="1"/>
  <c r="J14" i="1"/>
  <c r="J24" i="1"/>
  <c r="J35" i="1"/>
  <c r="J9" i="1"/>
  <c r="J21" i="1"/>
  <c r="J12" i="1"/>
  <c r="J10" i="1"/>
  <c r="L9" i="1" l="1"/>
  <c r="T9" i="1" s="1"/>
  <c r="L10" i="1"/>
  <c r="T10" i="1" s="1"/>
  <c r="L11" i="1"/>
  <c r="T11" i="1" s="1"/>
  <c r="L12" i="1"/>
  <c r="T12" i="1" s="1"/>
  <c r="L13" i="1"/>
  <c r="T13" i="1" s="1"/>
  <c r="L14" i="1"/>
  <c r="T14" i="1" s="1"/>
  <c r="L15" i="1"/>
  <c r="T15" i="1" s="1"/>
  <c r="L16" i="1"/>
  <c r="T16" i="1" s="1"/>
  <c r="L17" i="1"/>
  <c r="T17" i="1" s="1"/>
  <c r="L18" i="1"/>
  <c r="T18" i="1" s="1"/>
  <c r="L19" i="1"/>
  <c r="T19" i="1" s="1"/>
  <c r="L20" i="1"/>
  <c r="T20" i="1" s="1"/>
  <c r="L21" i="1"/>
  <c r="T21" i="1" s="1"/>
  <c r="L22" i="1"/>
  <c r="T22" i="1" s="1"/>
  <c r="L23" i="1"/>
  <c r="T23" i="1" s="1"/>
  <c r="L24" i="1"/>
  <c r="T24" i="1" s="1"/>
  <c r="L25" i="1"/>
  <c r="T25" i="1" s="1"/>
  <c r="L8" i="1"/>
  <c r="T8" i="1" s="1"/>
  <c r="B9" i="1"/>
  <c r="A4" i="4" s="1"/>
  <c r="B10" i="1"/>
  <c r="A4" i="52" s="1"/>
  <c r="B8" i="1"/>
  <c r="M3" i="1" s="1"/>
  <c r="J8" i="1"/>
  <c r="A4" i="5" l="1"/>
  <c r="A4" i="53"/>
  <c r="P2" i="1"/>
  <c r="A4" i="2"/>
</calcChain>
</file>

<file path=xl/sharedStrings.xml><?xml version="1.0" encoding="utf-8"?>
<sst xmlns="http://schemas.openxmlformats.org/spreadsheetml/2006/main" count="2194" uniqueCount="1388">
  <si>
    <t>Question</t>
  </si>
  <si>
    <t>Sub-Part of Question</t>
  </si>
  <si>
    <t>(a)</t>
  </si>
  <si>
    <t>(b)</t>
  </si>
  <si>
    <t>(c)</t>
  </si>
  <si>
    <t>(d)</t>
  </si>
  <si>
    <t>(e)</t>
  </si>
  <si>
    <t>(f)</t>
  </si>
  <si>
    <t>(g)</t>
  </si>
  <si>
    <t>Total Point Value</t>
  </si>
  <si>
    <t>Status</t>
  </si>
  <si>
    <t>Your Score</t>
  </si>
  <si>
    <t>Incomplete</t>
  </si>
  <si>
    <t>Points</t>
  </si>
  <si>
    <t>Percentage:</t>
  </si>
  <si>
    <t>Instructions</t>
  </si>
  <si>
    <t>1.) Find a quiet place and allow yourself the full four hour exam period to practice. Treat this just as you would the real exam.</t>
  </si>
  <si>
    <r>
      <t xml:space="preserve">2.) Use the question hyperlinks on the </t>
    </r>
    <r>
      <rPr>
        <b/>
        <sz val="11"/>
        <color theme="1"/>
        <rFont val="Calibri"/>
        <family val="2"/>
        <scheme val="minor"/>
      </rPr>
      <t>Point Grid</t>
    </r>
    <r>
      <rPr>
        <sz val="11"/>
        <color theme="1"/>
        <rFont val="Calibri"/>
        <family val="2"/>
        <scheme val="minor"/>
      </rPr>
      <t xml:space="preserve"> worksheet to navigate between questions in your preferred order.</t>
    </r>
  </si>
  <si>
    <t>3.) Answer each question either to the side or below the grey question area.</t>
  </si>
  <si>
    <r>
      <t xml:space="preserve">4.) Use cell </t>
    </r>
    <r>
      <rPr>
        <b/>
        <sz val="11"/>
        <color theme="1"/>
        <rFont val="Calibri"/>
        <family val="2"/>
        <scheme val="minor"/>
      </rPr>
      <t>B1</t>
    </r>
    <r>
      <rPr>
        <sz val="11"/>
        <color theme="1"/>
        <rFont val="Calibri"/>
        <family val="2"/>
        <scheme val="minor"/>
      </rPr>
      <t xml:space="preserve"> on each question worksheet to mark whether you finished the question or not. You should use this feature to</t>
    </r>
  </si>
  <si>
    <t xml:space="preserve">       reflect your confidence in your answer. This way you'll know if you're on the money or your guesses were lucky.</t>
  </si>
  <si>
    <t>5.) Grade each question harshly. It's better to put in extra reviewing time now than find the examiners aren't as generous as you hoped.</t>
  </si>
  <si>
    <r>
      <t xml:space="preserve">7.) Return to the </t>
    </r>
    <r>
      <rPr>
        <b/>
        <sz val="11"/>
        <color theme="1"/>
        <rFont val="Calibri"/>
        <family val="2"/>
        <scheme val="minor"/>
      </rPr>
      <t>Point Grid</t>
    </r>
    <r>
      <rPr>
        <sz val="11"/>
        <color theme="1"/>
        <rFont val="Calibri"/>
        <family val="2"/>
        <scheme val="minor"/>
      </rPr>
      <t xml:space="preserve"> to see your score and a breakdown of where you scored well and where you didn't.</t>
    </r>
  </si>
  <si>
    <t>8.) Find the top five questions where you lost the most points. These are the topics you need to review the most intensely in the</t>
  </si>
  <si>
    <t xml:space="preserve">      next day or so.</t>
  </si>
  <si>
    <t>6.) Enter your estimated score for each sub-part of a question in the box beneath the sub-part point value. They look like:</t>
  </si>
  <si>
    <r>
      <t xml:space="preserve">       Use increments of </t>
    </r>
    <r>
      <rPr>
        <b/>
        <sz val="11"/>
        <color theme="1"/>
        <rFont val="Calibri"/>
        <family val="2"/>
        <scheme val="minor"/>
      </rPr>
      <t>0.25</t>
    </r>
    <r>
      <rPr>
        <sz val="11"/>
        <color theme="1"/>
        <rFont val="Calibri"/>
        <family val="2"/>
        <scheme val="minor"/>
      </rPr>
      <t xml:space="preserve"> when scoring; pay attention to the language used in the question and the point value. An "</t>
    </r>
    <r>
      <rPr>
        <i/>
        <sz val="11"/>
        <color theme="1"/>
        <rFont val="Calibri"/>
        <family val="2"/>
        <scheme val="minor"/>
      </rPr>
      <t>identify" question</t>
    </r>
  </si>
  <si>
    <r>
      <t xml:space="preserve">       is likely 0.25 per item while an "</t>
    </r>
    <r>
      <rPr>
        <i/>
        <sz val="11"/>
        <color theme="1"/>
        <rFont val="Calibri"/>
        <family val="2"/>
        <scheme val="minor"/>
      </rPr>
      <t>explain</t>
    </r>
    <r>
      <rPr>
        <sz val="11"/>
        <color theme="1"/>
        <rFont val="Calibri"/>
        <family val="2"/>
        <scheme val="minor"/>
      </rPr>
      <t>" or "</t>
    </r>
    <r>
      <rPr>
        <i/>
        <sz val="11"/>
        <color theme="1"/>
        <rFont val="Calibri"/>
        <family val="2"/>
        <scheme val="minor"/>
      </rPr>
      <t>briefly justify</t>
    </r>
    <r>
      <rPr>
        <sz val="11"/>
        <color theme="1"/>
        <rFont val="Calibri"/>
        <family val="2"/>
        <scheme val="minor"/>
      </rPr>
      <t>" gets 0.25 for the item and another 0.25 for the justification.</t>
    </r>
  </si>
  <si>
    <t>slay the beast</t>
  </si>
  <si>
    <r>
      <t xml:space="preserve">9.) Use the </t>
    </r>
    <r>
      <rPr>
        <u/>
        <sz val="11"/>
        <color theme="1"/>
        <rFont val="Calibri"/>
        <family val="2"/>
        <scheme val="minor"/>
      </rPr>
      <t>Reset Exam</t>
    </r>
    <r>
      <rPr>
        <sz val="11"/>
        <color theme="1"/>
        <rFont val="Calibri"/>
        <family val="2"/>
        <scheme val="minor"/>
      </rPr>
      <t xml:space="preserve"> button on the </t>
    </r>
    <r>
      <rPr>
        <b/>
        <sz val="11"/>
        <color theme="1"/>
        <rFont val="Calibri"/>
        <family val="2"/>
        <scheme val="minor"/>
      </rPr>
      <t>Point Grid</t>
    </r>
    <r>
      <rPr>
        <sz val="11"/>
        <color theme="1"/>
        <rFont val="Calibri"/>
        <family val="2"/>
        <scheme val="minor"/>
      </rPr>
      <t xml:space="preserve"> worksheet to clear all of your work ready for a new attempt at this exam later.</t>
    </r>
  </si>
  <si>
    <t>Return to Point Grid</t>
  </si>
  <si>
    <t>Pts Achieved</t>
  </si>
  <si>
    <t>Pts Available</t>
  </si>
  <si>
    <t xml:space="preserve">    ii.     Likelihood of model failure</t>
  </si>
  <si>
    <t/>
  </si>
  <si>
    <t>of 1910.</t>
  </si>
  <si>
    <t>Identify the issue or question related to the Federal Insurance Act of 1910 in the Insurance</t>
  </si>
  <si>
    <t>Reference Case.</t>
  </si>
  <si>
    <t>Briefly describe the ruling of the Judicial Committee of the Privy Council in the Insurance</t>
  </si>
  <si>
    <t>What does the outcome of the Insurance Reference Case mean for a Canadian provincial</t>
  </si>
  <si>
    <t>versus a Canadian federal insurer?</t>
  </si>
  <si>
    <t>The Act required a federal license of all insurers, except if incorporated in a province and</t>
  </si>
  <si>
    <t>operating exclusively in that province.</t>
  </si>
  <si>
    <t>The licensing provisions of the FIA are 'ultra-vires' (not within the power of the federal government.)</t>
  </si>
  <si>
    <t>Is the FIA 'intra-vires' of the federal government? (within regulatory powers of the federal government)</t>
  </si>
  <si>
    <t xml:space="preserve"> - trespasses on provincial authority in civil rights</t>
  </si>
  <si>
    <t xml:space="preserve"> - not covered by the federal power to legislate for peace, order, good government</t>
  </si>
  <si>
    <t xml:space="preserve"> - a provincial insurer has the capacity, but not the right, to operate in another province</t>
  </si>
  <si>
    <t xml:space="preserve">   (requires permission from other province)</t>
  </si>
  <si>
    <t xml:space="preserve">   (does not require permission from other province)</t>
  </si>
  <si>
    <t xml:space="preserve"> - federal insurer has the capacity &amp; right to operate in another province</t>
  </si>
  <si>
    <t>in order to achieve claims stability and predictability.</t>
  </si>
  <si>
    <t>The insurance industry supports a reform of key legal principles within the Canadian tort system</t>
  </si>
  <si>
    <t>Discuss 3 amendments to the tort system that may stabilize insurance costs.</t>
  </si>
  <si>
    <t>Answer</t>
  </si>
  <si>
    <t>Any 3 of:</t>
  </si>
  <si>
    <t xml:space="preserve"> - so the plaintiff can’t seek a defendant with deep pockets</t>
  </si>
  <si>
    <t>eliminate collateral source rule</t>
  </si>
  <si>
    <t xml:space="preserve"> - so claimant can’t be over-indemnified by collecting from multiple sources for the same loss</t>
  </si>
  <si>
    <t>eliminate joint &amp; several liability fornon-pecuniary damages and replace with proportional liability</t>
  </si>
  <si>
    <t>change compensation basis from gross to net</t>
  </si>
  <si>
    <t xml:space="preserve"> - reduces likelihood of over-compensation</t>
  </si>
  <si>
    <t>eliminate vicarious liability</t>
  </si>
  <si>
    <t xml:space="preserve"> - discourages search for deep pockets because then an employer can't be sued for the actions of an employee</t>
  </si>
  <si>
    <t xml:space="preserve">    that were beyond the employer's ability to control</t>
  </si>
  <si>
    <t>joint &amp; several liability:</t>
  </si>
  <si>
    <t xml:space="preserve"> - eliminating this would increase costs for determining proportional liability</t>
  </si>
  <si>
    <t xml:space="preserve"> - the guilty party shouldn't be relieved (by any collateral sources) of providing full compensation</t>
  </si>
  <si>
    <t>disadvantages of above reforms:</t>
  </si>
  <si>
    <t>compensation basis:</t>
  </si>
  <si>
    <t>collateral source rule:</t>
  </si>
  <si>
    <t xml:space="preserve"> - interferes with an intentional government tax break for plaintiff</t>
  </si>
  <si>
    <t>vicarious liability:</t>
  </si>
  <si>
    <t xml:space="preserve"> - all involved parties should be held responsible regardless of level of liability</t>
  </si>
  <si>
    <t>Identify the two component benefits of Ontario's mandatory auto insurance system</t>
  </si>
  <si>
    <t xml:space="preserve"> - no-fault (accident benefits): provides benefits regardless of fault</t>
  </si>
  <si>
    <t xml:space="preserve"> - tort (bodily injury): allows you to sue the at-fault driver</t>
  </si>
  <si>
    <t>causes of this unfair delivery of benefits in Ontario.</t>
  </si>
  <si>
    <t>Any 2 of:</t>
  </si>
  <si>
    <t>Cost control at the expense of care</t>
  </si>
  <si>
    <t xml:space="preserve"> - insurers emphasize cost control instead of care, but then victims don't recover from injuries an</t>
  </si>
  <si>
    <t xml:space="preserve">   final costs are higher, not lower</t>
  </si>
  <si>
    <t>Lawyers</t>
  </si>
  <si>
    <t>Entitlements</t>
  </si>
  <si>
    <t>Volume</t>
  </si>
  <si>
    <t xml:space="preserve"> - lawyers' contingency fees are a percent of the settlement</t>
  </si>
  <si>
    <t xml:space="preserve"> - lawyers seek higher settlements not better care for victims</t>
  </si>
  <si>
    <t xml:space="preserve"> - victims seek to maximize entitlements versus addressing own care needs</t>
  </si>
  <si>
    <t xml:space="preserve">    (you can't buy a new flat-screen with physio appointments!)</t>
  </si>
  <si>
    <t xml:space="preserve"> - providers are paid on volume of treatment, not results</t>
  </si>
  <si>
    <t>Identify the primary goal of Facility Association.</t>
  </si>
  <si>
    <t>Identify the key purpose of Facility Association's Risk-Sharing Pools.</t>
  </si>
  <si>
    <t>Briefly describe how premium rates and claims administration are treated differently</t>
  </si>
  <si>
    <t>in FARM (Facility Association Residual Market) and the RSPs (Risk-Sharing Pools).</t>
  </si>
  <si>
    <t>Pool.</t>
  </si>
  <si>
    <t>Earned Exposures</t>
  </si>
  <si>
    <t>Insurer A</t>
  </si>
  <si>
    <t>Provincial Total</t>
  </si>
  <si>
    <t>ceded</t>
  </si>
  <si>
    <t>not ceded</t>
  </si>
  <si>
    <t xml:space="preserve">   through the voluntary market</t>
  </si>
  <si>
    <r>
      <t xml:space="preserve"> - </t>
    </r>
    <r>
      <rPr>
        <u/>
        <sz val="11"/>
        <color theme="1"/>
        <rFont val="Calibri"/>
        <family val="2"/>
        <scheme val="minor"/>
      </rPr>
      <t>to ensure</t>
    </r>
    <r>
      <rPr>
        <sz val="11"/>
        <color theme="1"/>
        <rFont val="Calibri"/>
        <family val="2"/>
        <scheme val="minor"/>
      </rPr>
      <t xml:space="preserve"> auto insurance availability </t>
    </r>
    <r>
      <rPr>
        <u/>
        <sz val="11"/>
        <color theme="1"/>
        <rFont val="Calibri"/>
        <family val="2"/>
        <scheme val="minor"/>
      </rPr>
      <t>for all</t>
    </r>
    <r>
      <rPr>
        <sz val="11"/>
        <color theme="1"/>
        <rFont val="Calibri"/>
        <family val="2"/>
        <scheme val="minor"/>
      </rPr>
      <t xml:space="preserve"> owners &amp; licensed drivers </t>
    </r>
    <r>
      <rPr>
        <u/>
        <sz val="11"/>
        <color theme="1"/>
        <rFont val="Calibri"/>
        <family val="2"/>
        <scheme val="minor"/>
      </rPr>
      <t>unable to</t>
    </r>
    <r>
      <rPr>
        <sz val="11"/>
        <color theme="1"/>
        <rFont val="Calibri"/>
        <family val="2"/>
        <scheme val="minor"/>
      </rPr>
      <t xml:space="preserve"> obtain coverage</t>
    </r>
  </si>
  <si>
    <t xml:space="preserve"> - enhance market stability by allowing insurers to pool bad risks that have passed their own</t>
  </si>
  <si>
    <t xml:space="preserve">   underwriting criteria</t>
  </si>
  <si>
    <t>Premium Rates:</t>
  </si>
  <si>
    <t>FARM</t>
  </si>
  <si>
    <t>RSP</t>
  </si>
  <si>
    <t>Claims Administration:</t>
  </si>
  <si>
    <t xml:space="preserve"> - rates are set by FA</t>
  </si>
  <si>
    <t xml:space="preserve"> - use rates of ceding company</t>
  </si>
  <si>
    <t xml:space="preserve"> - uses servicing carriers (or 3rd party)</t>
  </si>
  <si>
    <t xml:space="preserve"> - ceding company handles it</t>
  </si>
  <si>
    <t>participation ratio</t>
  </si>
  <si>
    <t>=</t>
  </si>
  <si>
    <t>(insurer's EE not ceded)</t>
  </si>
  <si>
    <t>/</t>
  </si>
  <si>
    <t>(provincial EE not ceded)</t>
  </si>
  <si>
    <t xml:space="preserve"> &lt;==== final answer</t>
  </si>
  <si>
    <t>E</t>
  </si>
  <si>
    <t>A</t>
  </si>
  <si>
    <t>I</t>
  </si>
  <si>
    <t>C</t>
  </si>
  <si>
    <t>In the context of the Insurance Reference Case, briefly describe the Federal Insurance Act (FIA)</t>
  </si>
  <si>
    <t>value</t>
  </si>
  <si>
    <t>Any 2 of…</t>
  </si>
  <si>
    <t>(</t>
  </si>
  <si>
    <t>+</t>
  </si>
  <si>
    <t>)</t>
  </si>
  <si>
    <t>x</t>
  </si>
  <si>
    <t>Define the term 'subsequent event'.</t>
  </si>
  <si>
    <t xml:space="preserve"> - an event of which an actuary first becomes aware AFTER the calculation date</t>
  </si>
  <si>
    <t xml:space="preserve">   but BEFORE the corresponding report date</t>
  </si>
  <si>
    <t>(i)</t>
  </si>
  <si>
    <t>(ii)</t>
  </si>
  <si>
    <t>(b.i)</t>
  </si>
  <si>
    <t>(b.ii)</t>
  </si>
  <si>
    <t>ABC is federally licensed insurance company and all actuaries are FCIAs in good standing.</t>
  </si>
  <si>
    <t>Actuary</t>
  </si>
  <si>
    <t>B</t>
  </si>
  <si>
    <t>Information available about the actuary</t>
  </si>
  <si>
    <t>Justify whether actuaries A, B, C are eligible to serve as external peer reviewer for company ABC.</t>
  </si>
  <si>
    <t>Compare and contrast external peer reviewer and external audit work.</t>
  </si>
  <si>
    <t>Identify 4 duties of an external peer reviewer.</t>
  </si>
  <si>
    <t>A:</t>
  </si>
  <si>
    <t>B:</t>
  </si>
  <si>
    <t>C:</t>
  </si>
  <si>
    <t>Any 4 of…</t>
  </si>
  <si>
    <t xml:space="preserve"> - examine assumptions &amp; methods used by actuary</t>
  </si>
  <si>
    <t xml:space="preserve"> - did the AA (Appointed Actuary) use accepted actuarial practice</t>
  </si>
  <si>
    <t xml:space="preserve"> - did the AA doccument assumptions &amp; methods</t>
  </si>
  <si>
    <t xml:space="preserve"> - examine internal &amp; external changes if material</t>
  </si>
  <si>
    <t xml:space="preserve"> - examine MCT assumptions &amp; methods</t>
  </si>
  <si>
    <t xml:space="preserve"> -examine adequacy of procedures &amp; work of others</t>
  </si>
  <si>
    <t xml:space="preserve"> - review FCT scenarios</t>
  </si>
  <si>
    <t>AUDIT:</t>
  </si>
  <si>
    <t xml:space="preserve"> - checks that Financial Statements are free from material misstatement as a whole</t>
  </si>
  <si>
    <t xml:space="preserve"> - uses CICA standard (Canadian Institute of Chartered Accountants)</t>
  </si>
  <si>
    <t>PEER REVIEW:</t>
  </si>
  <si>
    <t xml:space="preserve"> - reviews AA's financial statement work at more granular level</t>
  </si>
  <si>
    <t xml:space="preserve"> - uses CIA standard (Canadian Institute of Actuaries)</t>
  </si>
  <si>
    <t>peer reviewer does not:</t>
  </si>
  <si>
    <t xml:space="preserve"> - verify DATA</t>
  </si>
  <si>
    <t xml:space="preserve"> - verify CONTROLS</t>
  </si>
  <si>
    <t xml:space="preserve"> - perform detailed RECALCULATIONS (provided AA has controls to detect errors in valuation)</t>
  </si>
  <si>
    <t>Briefly describe the disclosure requirement of the external peer review work in the AA report.</t>
  </si>
  <si>
    <t xml:space="preserve"> - main results &amp; findings</t>
  </si>
  <si>
    <t xml:space="preserve"> - when the review was done</t>
  </si>
  <si>
    <t xml:space="preserve"> - name of peer reviewer</t>
  </si>
  <si>
    <t>State the definition of materiality.</t>
  </si>
  <si>
    <t>Based on company characteristics, which company would you expect to have a more</t>
  </si>
  <si>
    <r>
      <t xml:space="preserve">rigorous materiality level in each of these scenarios </t>
    </r>
    <r>
      <rPr>
        <i/>
        <sz val="12"/>
        <rFont val="Calibri"/>
        <family val="2"/>
        <scheme val="minor"/>
      </rPr>
      <t>(more rigorous means lower.)</t>
    </r>
  </si>
  <si>
    <t>Briefly explain.</t>
  </si>
  <si>
    <t xml:space="preserve">  Scenario 1:</t>
  </si>
  <si>
    <t xml:space="preserve">    Company A has a surplus of 100 million</t>
  </si>
  <si>
    <t xml:space="preserve">    Company B has a surplus of 20 million</t>
  </si>
  <si>
    <t xml:space="preserve">  Scenario 2:</t>
  </si>
  <si>
    <t xml:space="preserve">    Company C started operation in 1920</t>
  </si>
  <si>
    <t xml:space="preserve">    Company D started operation in 2010</t>
  </si>
  <si>
    <t>Identify considerations regarding the disclosure of materiality in actuarial</t>
  </si>
  <si>
    <t>communications.</t>
  </si>
  <si>
    <r>
      <t xml:space="preserve">An omission / under-statement / over-statement is </t>
    </r>
    <r>
      <rPr>
        <b/>
        <sz val="12"/>
        <rFont val="Calibri"/>
        <family val="2"/>
        <scheme val="minor"/>
      </rPr>
      <t>material</t>
    </r>
    <r>
      <rPr>
        <sz val="12"/>
        <rFont val="Calibri"/>
        <family val="2"/>
        <scheme val="minor"/>
      </rPr>
      <t>…</t>
    </r>
  </si>
  <si>
    <r>
      <t xml:space="preserve">  ...if the actuary expects it to </t>
    </r>
    <r>
      <rPr>
        <b/>
        <sz val="12"/>
        <rFont val="Calibri"/>
        <family val="2"/>
        <scheme val="minor"/>
      </rPr>
      <t>materially affect</t>
    </r>
    <r>
      <rPr>
        <sz val="12"/>
        <rFont val="Calibri"/>
        <family val="2"/>
        <scheme val="minor"/>
      </rPr>
      <t xml:space="preserve"> the user's decision-making or</t>
    </r>
  </si>
  <si>
    <t xml:space="preserve">      reasonable expectations</t>
  </si>
  <si>
    <t>Scenario 1:</t>
  </si>
  <si>
    <r>
      <t xml:space="preserve">  </t>
    </r>
    <r>
      <rPr>
        <b/>
        <sz val="12"/>
        <color rgb="FF0070C0"/>
        <rFont val="Calibri"/>
        <family val="2"/>
        <scheme val="minor"/>
      </rPr>
      <t>Company B</t>
    </r>
    <r>
      <rPr>
        <sz val="12"/>
        <rFont val="Calibri"/>
        <family val="2"/>
        <scheme val="minor"/>
      </rPr>
      <t xml:space="preserve"> should have a more rigorous materiality level. It has a smaller surplus, so</t>
    </r>
  </si>
  <si>
    <t xml:space="preserve">  smaller swings in surplus would have a proportionately greater impact on Company B's</t>
  </si>
  <si>
    <t xml:space="preserve">  decision-making.</t>
  </si>
  <si>
    <t>Scenario 2:</t>
  </si>
  <si>
    <r>
      <t xml:space="preserve">  </t>
    </r>
    <r>
      <rPr>
        <b/>
        <sz val="12"/>
        <color rgb="FF0070C0"/>
        <rFont val="Calibri"/>
        <family val="2"/>
        <scheme val="minor"/>
      </rPr>
      <t>Company D</t>
    </r>
    <r>
      <rPr>
        <sz val="12"/>
        <rFont val="Calibri"/>
        <family val="2"/>
        <scheme val="minor"/>
      </rPr>
      <t xml:space="preserve"> should have a more rigorous materiality level. It is a much newer company,</t>
    </r>
  </si>
  <si>
    <t xml:space="preserve">  with less historical data and less established management. Operations should be monitored</t>
  </si>
  <si>
    <t xml:space="preserve">  more closely for any signs of trouble. Smaller swings in financial metrics would have a</t>
  </si>
  <si>
    <t xml:space="preserve">  proportionately greater impact on Company D's decision-making.</t>
  </si>
  <si>
    <t>Note:</t>
  </si>
  <si>
    <t xml:space="preserve">  This question was a "Bloom's Taxonomy" way of asking about the 6 company</t>
  </si>
  <si>
    <t xml:space="preserve">  characteristics that should be considered in setting the materiality level.</t>
  </si>
  <si>
    <r>
      <t xml:space="preserve">  Remember </t>
    </r>
    <r>
      <rPr>
        <b/>
        <sz val="12"/>
        <color rgb="FFFF0000"/>
        <rFont val="Calibri"/>
        <family val="2"/>
        <scheme val="minor"/>
      </rPr>
      <t>(F-STARS)</t>
    </r>
    <r>
      <rPr>
        <sz val="12"/>
        <rFont val="Calibri"/>
        <family val="2"/>
        <scheme val="minor"/>
      </rPr>
      <t xml:space="preserve">? Here we used the 2 S's: </t>
    </r>
    <r>
      <rPr>
        <i/>
        <sz val="12"/>
        <rFont val="Calibri"/>
        <family val="2"/>
        <scheme val="minor"/>
      </rPr>
      <t>Size, Stage in life cycle.</t>
    </r>
  </si>
  <si>
    <r>
      <t xml:space="preserve">  If you don't remember, review the materiality wiki article </t>
    </r>
    <r>
      <rPr>
        <b/>
        <sz val="12"/>
        <rFont val="Calibri"/>
        <family val="2"/>
        <scheme val="minor"/>
      </rPr>
      <t>CIA.Mat</t>
    </r>
    <r>
      <rPr>
        <sz val="12"/>
        <rFont val="Calibri"/>
        <family val="2"/>
        <scheme val="minor"/>
      </rPr>
      <t>.</t>
    </r>
  </si>
  <si>
    <r>
      <t xml:space="preserve">  </t>
    </r>
    <r>
      <rPr>
        <b/>
        <sz val="12"/>
        <color rgb="FFFF0000"/>
        <rFont val="Calibri"/>
        <family val="2"/>
        <scheme val="minor"/>
      </rPr>
      <t>S</t>
    </r>
    <r>
      <rPr>
        <sz val="12"/>
        <rFont val="Calibri"/>
        <family val="2"/>
        <scheme val="minor"/>
      </rPr>
      <t>ophistication of the user</t>
    </r>
  </si>
  <si>
    <r>
      <t xml:space="preserve">  </t>
    </r>
    <r>
      <rPr>
        <b/>
        <sz val="12"/>
        <color rgb="FFFF0000"/>
        <rFont val="Calibri"/>
        <family val="2"/>
        <scheme val="minor"/>
      </rPr>
      <t>I</t>
    </r>
    <r>
      <rPr>
        <sz val="12"/>
        <rFont val="Calibri"/>
        <family val="2"/>
        <scheme val="minor"/>
      </rPr>
      <t>mportance of the concept of materiality to the user</t>
    </r>
  </si>
  <si>
    <r>
      <t xml:space="preserve">  </t>
    </r>
    <r>
      <rPr>
        <b/>
        <sz val="12"/>
        <color rgb="FFFF0000"/>
        <rFont val="Calibri"/>
        <family val="2"/>
        <scheme val="minor"/>
      </rPr>
      <t>C</t>
    </r>
    <r>
      <rPr>
        <sz val="12"/>
        <rFont val="Calibri"/>
        <family val="2"/>
        <scheme val="minor"/>
      </rPr>
      <t xml:space="preserve">omplexity of the information </t>
    </r>
    <r>
      <rPr>
        <i/>
        <sz val="12"/>
        <rFont val="Calibri"/>
        <family val="2"/>
        <scheme val="minor"/>
      </rPr>
      <t>(KISS - Keep it Simple Stupid)</t>
    </r>
  </si>
  <si>
    <t>Briefly describe the following terms:</t>
  </si>
  <si>
    <t xml:space="preserve">     i.     Model</t>
  </si>
  <si>
    <t xml:space="preserve">    ii.     Model risk</t>
  </si>
  <si>
    <t>In evaluating model risk exposure, an actuary can assess the severity and likelihood of</t>
  </si>
  <si>
    <t>failure in a model. Identify three considerations for each of the following metrics:</t>
  </si>
  <si>
    <t xml:space="preserve">     i.     Severity of model failure</t>
  </si>
  <si>
    <t>model risk:</t>
  </si>
  <si>
    <t xml:space="preserve"> - a practical representation of relationships among entities using FEMS concepts</t>
  </si>
  <si>
    <t xml:space="preserve">   (Financial, Economic,  Mathematical, Statistical)</t>
  </si>
  <si>
    <t>model:</t>
  </si>
  <si>
    <t xml:space="preserve"> - the risk that the user will draw inappropriate conclusions due to shortcomings of the model</t>
  </si>
  <si>
    <t xml:space="preserve">   or its use</t>
  </si>
  <si>
    <t xml:space="preserve"> - Financial significance</t>
  </si>
  <si>
    <t xml:space="preserve"> - Importance of model</t>
  </si>
  <si>
    <t xml:space="preserve"> - Frequency of use (high frequency of use means higher risk)</t>
  </si>
  <si>
    <t xml:space="preserve"> - expertise of users (if the user is a total dumb-ass then the likelihood of failure is epic!)</t>
  </si>
  <si>
    <t xml:space="preserve"> - docs (crappy docs increase risk)</t>
  </si>
  <si>
    <t xml:space="preserve"> - complexity of model (bells and whistles are nice but too many complicated features</t>
  </si>
  <si>
    <t xml:space="preserve">    increase model risk)</t>
  </si>
  <si>
    <t xml:space="preserve"> - testing (if your assistant is posting to Instagram when they're supposed to be testing</t>
  </si>
  <si>
    <t xml:space="preserve">    the model, then failure is near certain!)</t>
  </si>
  <si>
    <t>Severity of failure:</t>
  </si>
  <si>
    <t>LIkelihood of failure: (any 3 of…)</t>
  </si>
  <si>
    <t>Contrast the following accounting concepts:</t>
  </si>
  <si>
    <t xml:space="preserve">    ii.     Fair value vs. historical cost</t>
  </si>
  <si>
    <t xml:space="preserve">     i.     Liquidation vs. going-concern</t>
  </si>
  <si>
    <t xml:space="preserve">   iii.     Principle-based vs. rule-based</t>
  </si>
  <si>
    <t>Liquidation:</t>
  </si>
  <si>
    <t xml:space="preserve"> - of interest to REGULATORS (for satisfying policy holder obligations)</t>
  </si>
  <si>
    <t>Going-concern:</t>
  </si>
  <si>
    <t xml:space="preserve"> - continued normal operations</t>
  </si>
  <si>
    <t xml:space="preserve"> - runoff of assets/liabilities</t>
  </si>
  <si>
    <t xml:space="preserve"> - of interest to INVESTORS</t>
  </si>
  <si>
    <t>Fair-value:</t>
  </si>
  <si>
    <t xml:space="preserve"> - value in open market</t>
  </si>
  <si>
    <t xml:space="preserve"> - more accurate</t>
  </si>
  <si>
    <t>Historical cost:</t>
  </si>
  <si>
    <t xml:space="preserve"> - original cost MINUS depreciation</t>
  </si>
  <si>
    <t xml:space="preserve"> - easier to calculate</t>
  </si>
  <si>
    <t>(iii)</t>
  </si>
  <si>
    <t>Principle-based:</t>
  </si>
  <si>
    <t xml:space="preserve"> - accounting approach requiring interpretation to apply</t>
  </si>
  <si>
    <t xml:space="preserve"> - more flexible</t>
  </si>
  <si>
    <t>Rule-based:</t>
  </si>
  <si>
    <t xml:space="preserve"> - specific guidance</t>
  </si>
  <si>
    <t xml:space="preserve"> - easier to apply, but less flexible</t>
  </si>
  <si>
    <t>Calculate the MCT capital available.</t>
  </si>
  <si>
    <t>Retained Earnings</t>
  </si>
  <si>
    <t>AOCI</t>
  </si>
  <si>
    <t>D</t>
  </si>
  <si>
    <t>-</t>
  </si>
  <si>
    <t>deduction</t>
  </si>
  <si>
    <t>,</t>
  </si>
  <si>
    <t>&lt;====</t>
  </si>
  <si>
    <t>Let</t>
  </si>
  <si>
    <t>limit</t>
  </si>
  <si>
    <t>excess</t>
  </si>
  <si>
    <t>DWP</t>
  </si>
  <si>
    <t>AWP</t>
  </si>
  <si>
    <t>CWP</t>
  </si>
  <si>
    <t>Here is some more information that you'll need:</t>
  </si>
  <si>
    <t>AWP(ig):</t>
  </si>
  <si>
    <t>($) AWP (last 12 mths) from intra-group pooling</t>
  </si>
  <si>
    <t>CWP(ig):</t>
  </si>
  <si>
    <t>($) CWP (last 12 mths) from intra-group pooling</t>
  </si>
  <si>
    <t>growth</t>
  </si>
  <si>
    <t>risk factor</t>
  </si>
  <si>
    <t>DWP over last 12 months</t>
  </si>
  <si>
    <t>AWP over last 12 months</t>
  </si>
  <si>
    <t>CWP over last 12 months</t>
  </si>
  <si>
    <t>AWP(ig) over last 12 months</t>
  </si>
  <si>
    <t>CWP(ig) over last 12 months</t>
  </si>
  <si>
    <t>premium growth above 20%</t>
  </si>
  <si>
    <t>capital factor *</t>
  </si>
  <si>
    <t>* capital factor applies to total capital required BEFORE operational risk margin</t>
  </si>
  <si>
    <t xml:space="preserve">   and diversification credit.</t>
  </si>
  <si>
    <t>its obligations and continue operations.</t>
  </si>
  <si>
    <t>Calculate the MCT ratio and briefly comment on the ability of this company to satisfy</t>
  </si>
  <si>
    <t xml:space="preserve">  (sum the components)</t>
  </si>
  <si>
    <t xml:space="preserve">  component: unregistered reinsurance</t>
  </si>
  <si>
    <t xml:space="preserve">  (given)</t>
  </si>
  <si>
    <t xml:space="preserve">  component: interest rate risk</t>
  </si>
  <si>
    <t xml:space="preserve">  component: real estate</t>
  </si>
  <si>
    <t>MCT minimum capital required:</t>
  </si>
  <si>
    <t xml:space="preserve">  (see further down)</t>
  </si>
  <si>
    <t>Summary of results:</t>
  </si>
  <si>
    <t>Detailed calculations for selected components:</t>
  </si>
  <si>
    <r>
      <t xml:space="preserve">capital required for </t>
    </r>
    <r>
      <rPr>
        <u/>
        <sz val="11"/>
        <rFont val="Calibri"/>
        <family val="2"/>
        <scheme val="minor"/>
      </rPr>
      <t>insurance</t>
    </r>
    <r>
      <rPr>
        <sz val="11"/>
        <rFont val="Calibri"/>
        <family val="2"/>
        <scheme val="minor"/>
      </rPr>
      <t xml:space="preserve"> risk:</t>
    </r>
  </si>
  <si>
    <r>
      <t xml:space="preserve">The capital required for </t>
    </r>
    <r>
      <rPr>
        <u/>
        <sz val="11"/>
        <color theme="1"/>
        <rFont val="Calibri"/>
        <family val="2"/>
        <scheme val="minor"/>
      </rPr>
      <t>foreign exchange</t>
    </r>
    <r>
      <rPr>
        <sz val="11"/>
        <color theme="1"/>
        <rFont val="Calibri"/>
        <family val="2"/>
        <scheme val="minor"/>
      </rPr>
      <t xml:space="preserve"> risk is:</t>
    </r>
  </si>
  <si>
    <r>
      <t xml:space="preserve">The capital required for </t>
    </r>
    <r>
      <rPr>
        <u/>
        <sz val="11"/>
        <color theme="1"/>
        <rFont val="Calibri"/>
        <family val="2"/>
        <scheme val="minor"/>
      </rPr>
      <t>equity</t>
    </r>
    <r>
      <rPr>
        <sz val="11"/>
        <color theme="1"/>
        <rFont val="Calibri"/>
        <family val="2"/>
        <scheme val="minor"/>
      </rPr>
      <t xml:space="preserve"> risk is:</t>
    </r>
  </si>
  <si>
    <r>
      <t xml:space="preserve">The capital required for </t>
    </r>
    <r>
      <rPr>
        <u/>
        <sz val="11"/>
        <color theme="1"/>
        <rFont val="Calibri"/>
        <family val="2"/>
        <scheme val="minor"/>
      </rPr>
      <t>real estate</t>
    </r>
    <r>
      <rPr>
        <sz val="11"/>
        <color theme="1"/>
        <rFont val="Calibri"/>
        <family val="2"/>
        <scheme val="minor"/>
      </rPr>
      <t xml:space="preserve"> risk is:</t>
    </r>
  </si>
  <si>
    <r>
      <t xml:space="preserve">The capital required for </t>
    </r>
    <r>
      <rPr>
        <u/>
        <sz val="11"/>
        <color theme="1"/>
        <rFont val="Calibri"/>
        <family val="2"/>
        <scheme val="minor"/>
      </rPr>
      <t>credit</t>
    </r>
    <r>
      <rPr>
        <sz val="11"/>
        <color theme="1"/>
        <rFont val="Calibri"/>
        <family val="2"/>
        <scheme val="minor"/>
      </rPr>
      <t xml:space="preserve"> risk is:</t>
    </r>
  </si>
  <si>
    <r>
      <t xml:space="preserve">capital required for </t>
    </r>
    <r>
      <rPr>
        <u/>
        <sz val="11"/>
        <rFont val="Calibri"/>
        <family val="2"/>
        <scheme val="minor"/>
      </rPr>
      <t>market</t>
    </r>
    <r>
      <rPr>
        <sz val="11"/>
        <rFont val="Calibri"/>
        <family val="2"/>
        <scheme val="minor"/>
      </rPr>
      <t xml:space="preserve"> risk:</t>
    </r>
  </si>
  <si>
    <r>
      <t xml:space="preserve">capital required for </t>
    </r>
    <r>
      <rPr>
        <u/>
        <sz val="11"/>
        <rFont val="Calibri"/>
        <family val="2"/>
        <scheme val="minor"/>
      </rPr>
      <t>credit</t>
    </r>
    <r>
      <rPr>
        <sz val="11"/>
        <rFont val="Calibri"/>
        <family val="2"/>
        <scheme val="minor"/>
      </rPr>
      <t xml:space="preserve"> risk:</t>
    </r>
  </si>
  <si>
    <r>
      <t xml:space="preserve">capital required for </t>
    </r>
    <r>
      <rPr>
        <u/>
        <sz val="11"/>
        <rFont val="Calibri"/>
        <family val="2"/>
        <scheme val="minor"/>
      </rPr>
      <t>operational</t>
    </r>
    <r>
      <rPr>
        <sz val="11"/>
        <rFont val="Calibri"/>
        <family val="2"/>
        <scheme val="minor"/>
      </rPr>
      <t xml:space="preserve"> risk:</t>
    </r>
  </si>
  <si>
    <t>&lt;==</t>
  </si>
  <si>
    <t>First, let's calculate CR(0)</t>
  </si>
  <si>
    <t>CR(0)</t>
  </si>
  <si>
    <t>capital required</t>
  </si>
  <si>
    <t>BEFORE</t>
  </si>
  <si>
    <t>operational risk &amp; diversification credit</t>
  </si>
  <si>
    <t>CapReq(market risk)</t>
  </si>
  <si>
    <t>CapReq(credit risk)</t>
  </si>
  <si>
    <t>CapReq(ins. risk)</t>
  </si>
  <si>
    <t>Now, multiply CR(0) by 30% to get an upper limit on operational risk.</t>
  </si>
  <si>
    <t xml:space="preserve"> that also maintain high levels of reinsurance.)</t>
  </si>
  <si>
    <t>(The purpose of this limit to dampen operational risk for companies with HIGH-volume + LOW-complexity business</t>
  </si>
  <si>
    <t xml:space="preserve"> &lt;== upper limit on operational risk</t>
  </si>
  <si>
    <t>component</t>
  </si>
  <si>
    <t>(DWP + AWP) / (1 + growth)</t>
  </si>
  <si>
    <t>growth% &gt; 20%</t>
  </si>
  <si>
    <t>========&gt;</t>
  </si>
  <si>
    <t xml:space="preserve"> &lt;== sum</t>
  </si>
  <si>
    <r>
      <t xml:space="preserve">Now apply risk factors to components </t>
    </r>
    <r>
      <rPr>
        <u/>
        <sz val="11"/>
        <color theme="1"/>
        <rFont val="Calibri"/>
        <family val="2"/>
        <scheme val="minor"/>
      </rPr>
      <t>other than intra-group pooling</t>
    </r>
    <r>
      <rPr>
        <sz val="11"/>
        <color theme="1"/>
        <rFont val="Calibri"/>
        <family val="2"/>
        <scheme val="minor"/>
      </rPr>
      <t>:</t>
    </r>
  </si>
  <si>
    <r>
      <t xml:space="preserve">Now apply risk factors to </t>
    </r>
    <r>
      <rPr>
        <u/>
        <sz val="11"/>
        <color theme="1"/>
        <rFont val="Calibri"/>
        <family val="2"/>
        <scheme val="minor"/>
      </rPr>
      <t>intra-group pooling</t>
    </r>
    <r>
      <rPr>
        <sz val="11"/>
        <color theme="1"/>
        <rFont val="Calibri"/>
        <family val="2"/>
        <scheme val="minor"/>
      </rPr>
      <t>:</t>
    </r>
  </si>
  <si>
    <t>AWP(ig)</t>
  </si>
  <si>
    <t>DWP(ig)</t>
  </si>
  <si>
    <t xml:space="preserve"> &lt;== MAX</t>
  </si>
  <si>
    <t>Putting it all together</t>
  </si>
  <si>
    <t>components for intra-group pooling</t>
  </si>
  <si>
    <r>
      <t xml:space="preserve">components </t>
    </r>
    <r>
      <rPr>
        <u/>
        <sz val="11"/>
        <color theme="1"/>
        <rFont val="Calibri"/>
        <family val="2"/>
        <scheme val="minor"/>
      </rPr>
      <t>other than</t>
    </r>
    <r>
      <rPr>
        <sz val="11"/>
        <color theme="1"/>
        <rFont val="Calibri"/>
        <family val="2"/>
        <scheme val="minor"/>
      </rPr>
      <t xml:space="preserve"> intra-group pooling</t>
    </r>
  </si>
  <si>
    <t>CapReq(operational risk)</t>
  </si>
  <si>
    <t>min(</t>
  </si>
  <si>
    <t xml:space="preserve"> &lt;== uncapped operational risk</t>
  </si>
  <si>
    <t>The final step is to cap the above result against the upper limit on operational risk calculated earlier.</t>
  </si>
  <si>
    <t xml:space="preserve"> &lt;==== CapReq(operational risk)</t>
  </si>
  <si>
    <t>diversification credit:</t>
  </si>
  <si>
    <t>Asset Risk</t>
  </si>
  <si>
    <t>Credit Risk</t>
  </si>
  <si>
    <t>M</t>
  </si>
  <si>
    <t>Market Risk</t>
  </si>
  <si>
    <t>Then</t>
  </si>
  <si>
    <t>diversification credit</t>
  </si>
  <si>
    <t>Insurance Risk</t>
  </si>
  <si>
    <t xml:space="preserve"> (from above)</t>
  </si>
  <si>
    <t xml:space="preserve"> &lt;==== diversification credit</t>
  </si>
  <si>
    <t>diversification credit (DC):</t>
  </si>
  <si>
    <t>[ SUM(IMCO) - DC ] / 1.5</t>
  </si>
  <si>
    <t xml:space="preserve"> &lt;==== final answer to part (b)</t>
  </si>
  <si>
    <t>component of insurance risk</t>
  </si>
  <si>
    <r>
      <t xml:space="preserve">sqrt [ </t>
    </r>
    <r>
      <rPr>
        <b/>
        <sz val="11"/>
        <color rgb="FF00B050"/>
        <rFont val="Calibri"/>
        <family val="2"/>
        <scheme val="minor"/>
      </rPr>
      <t>A^2</t>
    </r>
    <r>
      <rPr>
        <sz val="11"/>
        <color theme="1"/>
        <rFont val="Calibri"/>
        <family val="2"/>
        <scheme val="minor"/>
      </rPr>
      <t xml:space="preserve"> + </t>
    </r>
    <r>
      <rPr>
        <b/>
        <sz val="11"/>
        <color rgb="FF7030A0"/>
        <rFont val="Calibri"/>
        <family val="2"/>
        <scheme val="minor"/>
      </rPr>
      <t>I^2</t>
    </r>
    <r>
      <rPr>
        <sz val="11"/>
        <color theme="1"/>
        <rFont val="Calibri"/>
        <family val="2"/>
        <scheme val="minor"/>
      </rPr>
      <t xml:space="preserve"> + ( </t>
    </r>
    <r>
      <rPr>
        <b/>
        <sz val="11"/>
        <color rgb="FF0070C0"/>
        <rFont val="Calibri"/>
        <family val="2"/>
        <scheme val="minor"/>
      </rPr>
      <t>2 x 0.5 x Ax I</t>
    </r>
    <r>
      <rPr>
        <sz val="11"/>
        <color theme="1"/>
        <rFont val="Calibri"/>
        <family val="2"/>
        <scheme val="minor"/>
      </rPr>
      <t xml:space="preserve"> ) ]</t>
    </r>
  </si>
  <si>
    <t>MCT ratio</t>
  </si>
  <si>
    <t>(minimum capital required)</t>
  </si>
  <si>
    <t>(capital available)</t>
  </si>
  <si>
    <t>part (a)</t>
  </si>
  <si>
    <t>part (b)</t>
  </si>
  <si>
    <t xml:space="preserve"> &lt;==== final answer to part (c)</t>
  </si>
  <si>
    <t xml:space="preserve">This MCT ratio of </t>
  </si>
  <si>
    <t>is above OSFI's supervisery target of 150%.</t>
  </si>
  <si>
    <t>Therefore this company is likely able to meeting its obligations and continue operations.</t>
  </si>
  <si>
    <t>The AA became aware of the event between the calculation date and the report date, so it is a subsequent event</t>
  </si>
  <si>
    <t>The hurricane had a material impact on the insurer's book but the purpose of the report is to report the entity as it was,</t>
  </si>
  <si>
    <t>therefore it is a non-adjusting event but the AA needs to disclose it in the note of the report</t>
  </si>
  <si>
    <t>The Appointed Actuary of a P&amp;C company is valuing policy liabilities as at December 31, 2021.</t>
  </si>
  <si>
    <t>The report date for the year-end 2021 financial statements is February 10, 2022.</t>
  </si>
  <si>
    <t>For each scenario below, determine whether the given event is a subsequent event and the appropriate course of action.</t>
  </si>
  <si>
    <t>Because the company cedes a substaintial portion of its business to the reinsurer, and</t>
  </si>
  <si>
    <t>the reinsurer's insolvency is due to a gradual deterioration, it is an adjusting event. The AA should reflect it in the report</t>
  </si>
  <si>
    <t>(i) A major hurricane that impacted the company's insured book of business occurred on January 30, 2022.</t>
  </si>
  <si>
    <t>(ii) The company has a quota share reinsurance agreement with a third-party reinsurer whereby the company cedes</t>
  </si>
  <si>
    <t xml:space="preserve">30% of its GWP and claims liabilities to the reinsurer on an annual basis. The AA has just been made aware that the </t>
  </si>
  <si>
    <t>reinsurer became insolvent on January 10, 2022, due to a gradual deterioration in the reinsurer's financial condition.</t>
  </si>
  <si>
    <t>An insured has been sued for causing damages as a result of a sexual assault.</t>
  </si>
  <si>
    <t>The insured in question seeks coverage from his insurance company to defend him in the sexual assault case but is denied.</t>
  </si>
  <si>
    <t>Hence, the insured files a lawsuit against his insurance company for denying their duty to defend.</t>
  </si>
  <si>
    <t>State the likely outcome of the insured's lawsuit against his insurance company by citing any relevant precedents to</t>
  </si>
  <si>
    <t>support the ruling.</t>
  </si>
  <si>
    <t>The likely outcome is that the insurance company has NO duty to defend in this case.</t>
  </si>
  <si>
    <t>The precedent on which this likely ruling is based on is Sansalone v Wawanesa.</t>
  </si>
  <si>
    <t>Briefly explain the reasoning behind both the majority ruling and minority ruling.</t>
  </si>
  <si>
    <t xml:space="preserve">Majority Ruling: The majority ruled that if the act (sexual assault) is intentional and injury is natural and probable from the act then there is INTENTION to injure. </t>
  </si>
  <si>
    <t>Hence, the insurance company has NO duty defend as the intention to cause injury is clearly excluded from coverage by the policy.</t>
  </si>
  <si>
    <t>Minority Ruling: A minority believed that the act in this case was intentional but the intention to injure was not.</t>
  </si>
  <si>
    <t>Now, consider the separate case of Glynn v Scottish Union that reached the Ontario Court of Appeal.</t>
  </si>
  <si>
    <t>They thought the defendant had an invalid belief of consent.</t>
  </si>
  <si>
    <t>State the outcome at trial before it reached the Ontario Court of Appeal in Glynn v Scottish Union.</t>
  </si>
  <si>
    <t>At trial, the ruling confirmed that Glynn is entitled to double recovery from the other driver's insurer and his own.</t>
  </si>
  <si>
    <t>General Context:</t>
  </si>
  <si>
    <t xml:space="preserve">Briefly describe how the ruling at the Court of Appeal of Ontario resembled or differed from the trial and explain the </t>
  </si>
  <si>
    <t>Glynn is injured in an auto accident and is reimbursed by the other driver's insurer.</t>
  </si>
  <si>
    <t>rationale that led to the ruling.</t>
  </si>
  <si>
    <t>Subsequently, Glynn also seeks to recover for his medical expenses from his own insurer and sues when he is denied.</t>
  </si>
  <si>
    <t>The Ontario Court of Appeal ruled that Glynn was not entitled to double recovery.</t>
  </si>
  <si>
    <t>Section B of the policy is a contract of indemnity which implies that the insurer would need to be able to subrogate.</t>
  </si>
  <si>
    <t xml:space="preserve">As the insurer cannot subrogate (as the other insurer has already reimbursed for the medical fees), the insurer is not liable to pay. </t>
  </si>
  <si>
    <t>The concept of a contract of indemnity implies that there is no possibility of double recovery.</t>
  </si>
  <si>
    <t>Briefly describe arguments against each of the amendments described in part (a) above.</t>
  </si>
  <si>
    <t>Identify 4 reason for governmental participation in insurance.</t>
  </si>
  <si>
    <t>Any 4 of..</t>
  </si>
  <si>
    <t>for FILLING NEEDS unmet by private insurance (Ex: terrorism)</t>
  </si>
  <si>
    <t xml:space="preserve"> - may occur when private insurance is not economically viable (after 9/11 terrorist attack in NYC,</t>
  </si>
  <si>
    <t xml:space="preserve">   private market withdrew coverage)</t>
  </si>
  <si>
    <t>extra details just for completeness.</t>
  </si>
  <si>
    <t>If the question was 2 points instead of 1 point, then each reason would be 0.5 pts so you'd then</t>
  </si>
  <si>
    <t>need to include the extra detail.</t>
  </si>
  <si>
    <t>when insurance is COMPULSORY (Ex: BC auto)</t>
  </si>
  <si>
    <t xml:space="preserve"> - if insurance is compulsory but not offered by the private market (for whatever reason) then</t>
  </si>
  <si>
    <t xml:space="preserve">   government must be the provider</t>
  </si>
  <si>
    <t>for CONVENIENCE (Ex: flood)</t>
  </si>
  <si>
    <t xml:space="preserve"> - government may already have necessary structures in place (government already provides disaster relief after floods)</t>
  </si>
  <si>
    <t>for EFFICIENCY (Ex: auto)</t>
  </si>
  <si>
    <t xml:space="preserve"> - agent commissions eliminated → lower expense ratio → lower premiums for consumer</t>
  </si>
  <si>
    <t>for SOCIAL purposes (Ex: medical coverage)</t>
  </si>
  <si>
    <t xml:space="preserve"> - private market is motivated by profit, sometimes at the expense of social purposes like universal medical coverage</t>
  </si>
  <si>
    <t>The answers above would probably be more than you'd need to write for 0.25 pts each. I included the</t>
  </si>
  <si>
    <t>Step 1</t>
  </si>
  <si>
    <t>Step 2</t>
  </si>
  <si>
    <t>assets</t>
  </si>
  <si>
    <t>liabilities</t>
  </si>
  <si>
    <t>equity</t>
  </si>
  <si>
    <t>the equity for calendar year 2022.</t>
  </si>
  <si>
    <t>CY</t>
  </si>
  <si>
    <t>quantity</t>
  </si>
  <si>
    <t>net income</t>
  </si>
  <si>
    <t>other comprehensive income</t>
  </si>
  <si>
    <t>amount</t>
  </si>
  <si>
    <r>
      <t xml:space="preserve">Given the following </t>
    </r>
    <r>
      <rPr>
        <b/>
        <sz val="11"/>
        <color theme="1"/>
        <rFont val="Calibri"/>
        <family val="2"/>
        <scheme val="minor"/>
      </rPr>
      <t>balance sheet</t>
    </r>
    <r>
      <rPr>
        <sz val="11"/>
        <color theme="1"/>
        <rFont val="Calibri"/>
        <family val="2"/>
        <scheme val="minor"/>
      </rPr>
      <t xml:space="preserve"> information for insurer A, calculate the equity for calendar year 2022.</t>
    </r>
  </si>
  <si>
    <r>
      <t xml:space="preserve">Given the following </t>
    </r>
    <r>
      <rPr>
        <b/>
        <sz val="11"/>
        <color theme="1"/>
        <rFont val="Calibri"/>
        <family val="2"/>
        <scheme val="minor"/>
      </rPr>
      <t>balance sheet</t>
    </r>
    <r>
      <rPr>
        <sz val="11"/>
        <color theme="1"/>
        <rFont val="Calibri"/>
        <family val="2"/>
        <scheme val="minor"/>
      </rPr>
      <t xml:space="preserve"> and </t>
    </r>
    <r>
      <rPr>
        <b/>
        <sz val="11"/>
        <color theme="1"/>
        <rFont val="Calibri"/>
        <family val="2"/>
        <scheme val="minor"/>
      </rPr>
      <t>income statement</t>
    </r>
    <r>
      <rPr>
        <sz val="11"/>
        <color theme="1"/>
        <rFont val="Calibri"/>
        <family val="2"/>
        <scheme val="minor"/>
      </rPr>
      <t xml:space="preserve"> information for insurer B, calculate</t>
    </r>
  </si>
  <si>
    <t>(prior year equity)</t>
  </si>
  <si>
    <t>NI</t>
  </si>
  <si>
    <t>OCI</t>
  </si>
  <si>
    <t>* amounts are in $000's</t>
  </si>
  <si>
    <t>* no dividends were paid</t>
  </si>
  <si>
    <t>If dividends are paid, we must subtract that amount from net income.</t>
  </si>
  <si>
    <t>net income assuming dividends</t>
  </si>
  <si>
    <t>If insurer B paid dividends of</t>
  </si>
  <si>
    <t>recalculate the insurer's B equity for calendar 2022.</t>
  </si>
  <si>
    <t>recalculate equity:</t>
  </si>
  <si>
    <t>final answer to part (a)</t>
  </si>
  <si>
    <t>final answer to part (b)</t>
  </si>
  <si>
    <t>final answer to part (c)</t>
  </si>
  <si>
    <t>final answer to part (d)</t>
  </si>
  <si>
    <t>According to the Canadian Institute of Actuaries' reading on Financial Condition Testing, what</t>
  </si>
  <si>
    <t>are the requirements for being in satisfactory financial condition.</t>
  </si>
  <si>
    <t>The following conditions must hold throughout the forecast period:</t>
  </si>
  <si>
    <t>[1]</t>
  </si>
  <si>
    <t>[2]</t>
  </si>
  <si>
    <t>under the base scenario insurer meets its internal target capital ratio(s) as determined by the ORSA</t>
  </si>
  <si>
    <t>under the going-concern scenarios → insurer meets the regulatory minimum capital ratio(s)</t>
  </si>
  <si>
    <r>
      <t>→ in practice this may be </t>
    </r>
    <r>
      <rPr>
        <b/>
        <sz val="11"/>
        <color rgb="FFFF0000"/>
        <rFont val="Calibri"/>
        <family val="2"/>
        <scheme val="minor"/>
      </rPr>
      <t>MCT ratio &gt; 180%</t>
    </r>
    <r>
      <rPr>
        <sz val="11"/>
        <color rgb="FF222222"/>
        <rFont val="Calibri"/>
        <family val="2"/>
        <scheme val="minor"/>
      </rPr>
      <t> </t>
    </r>
    <r>
      <rPr>
        <i/>
        <sz val="11"/>
        <color rgb="FF222222"/>
        <rFont val="Calibri"/>
        <family val="2"/>
        <scheme val="minor"/>
      </rPr>
      <t>(180% is just an example and would vary based on insurer and circumstances)</t>
    </r>
  </si>
  <si>
    <r>
      <t>→ in practice this may be </t>
    </r>
    <r>
      <rPr>
        <b/>
        <sz val="11"/>
        <color rgb="FFFF0000"/>
        <rFont val="Calibri"/>
        <family val="2"/>
        <scheme val="minor"/>
      </rPr>
      <t>MCT ratio &gt; 100%</t>
    </r>
  </si>
  <si>
    <t>[3]</t>
  </si>
  <si>
    <t>under solvency scenarios → must have assets &gt; liabilities</t>
  </si>
  <si>
    <t>Determine whether the following information from the most recent FCT report indicates that the</t>
  </si>
  <si>
    <t>insurer is in satisfactory financial condition.</t>
  </si>
  <si>
    <t>length of forecast period</t>
  </si>
  <si>
    <t>internal target ratio for MCT as determined by ORSA analysis</t>
  </si>
  <si>
    <t>regulatory minimum capital ratio for MCT</t>
  </si>
  <si>
    <t>scenario</t>
  </si>
  <si>
    <t>variable</t>
  </si>
  <si>
    <t>base scenario</t>
  </si>
  <si>
    <t>going-concern scenario</t>
  </si>
  <si>
    <t>solvency scenario #1</t>
  </si>
  <si>
    <t>solvency scenario #2</t>
  </si>
  <si>
    <t>Step 1a</t>
  </si>
  <si>
    <r>
      <t xml:space="preserve"> check condition on </t>
    </r>
    <r>
      <rPr>
        <u/>
        <sz val="11"/>
        <color theme="1"/>
        <rFont val="Calibri"/>
        <family val="2"/>
        <scheme val="minor"/>
      </rPr>
      <t>base</t>
    </r>
    <r>
      <rPr>
        <sz val="11"/>
        <color theme="1"/>
        <rFont val="Calibri"/>
        <family val="2"/>
        <scheme val="minor"/>
      </rPr>
      <t xml:space="preserve"> scenario</t>
    </r>
  </si>
  <si>
    <t>&gt;</t>
  </si>
  <si>
    <t>internal target</t>
  </si>
  <si>
    <t>base scenario MCT</t>
  </si>
  <si>
    <t>internal target MCT</t>
  </si>
  <si>
    <t>satisfies condition:</t>
  </si>
  <si>
    <t>&lt;========</t>
  </si>
  <si>
    <t>Step 1b</t>
  </si>
  <si>
    <r>
      <t xml:space="preserve"> check condition on </t>
    </r>
    <r>
      <rPr>
        <u/>
        <sz val="11"/>
        <color theme="1"/>
        <rFont val="Calibri"/>
        <family val="2"/>
        <scheme val="minor"/>
      </rPr>
      <t xml:space="preserve">going-concern </t>
    </r>
    <r>
      <rPr>
        <sz val="11"/>
        <color theme="1"/>
        <rFont val="Calibri"/>
        <family val="2"/>
        <scheme val="minor"/>
      </rPr>
      <t xml:space="preserve"> scenario</t>
    </r>
  </si>
  <si>
    <t>regulatory minimum</t>
  </si>
  <si>
    <t>going-concern scenario MCT</t>
  </si>
  <si>
    <t>regulatory minimum MCT</t>
  </si>
  <si>
    <t>Step 1c</t>
  </si>
  <si>
    <r>
      <t xml:space="preserve"> check condition on </t>
    </r>
    <r>
      <rPr>
        <u/>
        <sz val="11"/>
        <color theme="1"/>
        <rFont val="Calibri"/>
        <family val="2"/>
        <scheme val="minor"/>
      </rPr>
      <t xml:space="preserve">solvency </t>
    </r>
    <r>
      <rPr>
        <sz val="11"/>
        <color theme="1"/>
        <rFont val="Calibri"/>
        <family val="2"/>
        <scheme val="minor"/>
      </rPr>
      <t xml:space="preserve"> scenario #1</t>
    </r>
  </si>
  <si>
    <t>Step 1d</t>
  </si>
  <si>
    <r>
      <t xml:space="preserve"> check condition on </t>
    </r>
    <r>
      <rPr>
        <u/>
        <sz val="11"/>
        <color theme="1"/>
        <rFont val="Calibri"/>
        <family val="2"/>
        <scheme val="minor"/>
      </rPr>
      <t xml:space="preserve">solvency </t>
    </r>
    <r>
      <rPr>
        <sz val="11"/>
        <color theme="1"/>
        <rFont val="Calibri"/>
        <family val="2"/>
        <scheme val="minor"/>
      </rPr>
      <t xml:space="preserve"> scenario #2</t>
    </r>
  </si>
  <si>
    <t xml:space="preserve"> assess the results of step 1</t>
  </si>
  <si>
    <t>This insurer</t>
  </si>
  <si>
    <t>in satisfactory financial condition</t>
  </si>
  <si>
    <t>PASS</t>
  </si>
  <si>
    <t>Identify 2 potential ripple effects from the solvency scenarios.</t>
  </si>
  <si>
    <t>Identify 2 potential corrective management actions to address to mitigate the effects of the solvency scenarios.</t>
  </si>
  <si>
    <t xml:space="preserve"> - post-event inflation due to supply chain disruptions</t>
  </si>
  <si>
    <t xml:space="preserve"> - forced sale or liquidation</t>
  </si>
  <si>
    <t xml:space="preserve"> - raise rates</t>
  </si>
  <si>
    <t xml:space="preserve"> - sell assets</t>
  </si>
  <si>
    <t>Define the term 'stress-testing' according to OSFI.</t>
  </si>
  <si>
    <r>
      <t xml:space="preserve">Which of the following are </t>
    </r>
    <r>
      <rPr>
        <u/>
        <sz val="11"/>
        <color theme="1"/>
        <rFont val="Calibri"/>
        <family val="2"/>
        <scheme val="minor"/>
      </rPr>
      <t>not</t>
    </r>
    <r>
      <rPr>
        <sz val="11"/>
        <color theme="1"/>
        <rFont val="Calibri"/>
        <family val="2"/>
        <scheme val="minor"/>
      </rPr>
      <t xml:space="preserve"> valid purposes of stress-testing.</t>
    </r>
  </si>
  <si>
    <t xml:space="preserve">  i    risk identification &amp; control</t>
  </si>
  <si>
    <t>iii    supporting capital management</t>
  </si>
  <si>
    <t xml:space="preserve"> ii    evaluating underwriting changes</t>
  </si>
  <si>
    <t>iv    testing a new investment strategy</t>
  </si>
  <si>
    <t>Identify 4 rudimentary considerations in stress-testing</t>
  </si>
  <si>
    <t xml:space="preserve"> - a risk management technique to evaluate effects on financial condition of specified changes</t>
  </si>
  <si>
    <t xml:space="preserve">   corresponding to exceptional but plausible events</t>
  </si>
  <si>
    <t>This was a bit of trick question (sorry!) These are all valid purposes of stress-testing.</t>
  </si>
  <si>
    <t>Points (i) and (iii) are explicity stated as being purposes of stress-testing.</t>
  </si>
  <si>
    <t>Points (ii) and (iv) are just specific examples, but they are also valid purposes.</t>
  </si>
  <si>
    <t>Hint:</t>
  </si>
  <si>
    <t>RUDI</t>
  </si>
  <si>
    <r>
      <rPr>
        <b/>
        <sz val="11"/>
        <color rgb="FFFF0000"/>
        <rFont val="Calibri"/>
        <family val="2"/>
        <scheme val="minor"/>
      </rPr>
      <t>R</t>
    </r>
    <r>
      <rPr>
        <sz val="11"/>
        <color theme="1"/>
        <rFont val="Calibri"/>
        <family val="2"/>
        <scheme val="minor"/>
      </rPr>
      <t>ANGE</t>
    </r>
  </si>
  <si>
    <r>
      <rPr>
        <b/>
        <sz val="11"/>
        <color rgb="FFFF0000"/>
        <rFont val="Calibri"/>
        <family val="2"/>
        <scheme val="minor"/>
      </rPr>
      <t>U</t>
    </r>
    <r>
      <rPr>
        <sz val="11"/>
        <color theme="1"/>
        <rFont val="Calibri"/>
        <family val="2"/>
        <scheme val="minor"/>
      </rPr>
      <t>PDATE</t>
    </r>
  </si>
  <si>
    <r>
      <rPr>
        <b/>
        <sz val="11"/>
        <color rgb="FFFF0000"/>
        <rFont val="Calibri"/>
        <family val="2"/>
        <scheme val="minor"/>
      </rPr>
      <t>D</t>
    </r>
    <r>
      <rPr>
        <sz val="11"/>
        <color theme="1"/>
        <rFont val="Calibri"/>
        <family val="2"/>
        <scheme val="minor"/>
      </rPr>
      <t>OCUMENTATION</t>
    </r>
  </si>
  <si>
    <r>
      <rPr>
        <b/>
        <sz val="11"/>
        <color rgb="FFFF0000"/>
        <rFont val="Calibri"/>
        <family val="2"/>
        <scheme val="minor"/>
      </rPr>
      <t>I</t>
    </r>
    <r>
      <rPr>
        <sz val="11"/>
        <color theme="1"/>
        <rFont val="Calibri"/>
        <family val="2"/>
        <scheme val="minor"/>
      </rPr>
      <t>NFRASTRUCTURE</t>
    </r>
  </si>
  <si>
    <t>(final answer)</t>
  </si>
  <si>
    <t>Calculate the MCT minimum capital required.</t>
  </si>
  <si>
    <t>Identify 2 conditions for a contract to receive reinsurance accounting treatment</t>
  </si>
  <si>
    <r>
      <t>1. requires that </t>
    </r>
    <r>
      <rPr>
        <b/>
        <u/>
        <sz val="11"/>
        <color rgb="FFFF0000"/>
        <rFont val="Calibri"/>
        <family val="2"/>
        <scheme val="minor"/>
      </rPr>
      <t>S</t>
    </r>
    <r>
      <rPr>
        <u/>
        <sz val="11"/>
        <color rgb="FF222222"/>
        <rFont val="Calibri"/>
        <family val="2"/>
        <scheme val="minor"/>
      </rPr>
      <t>ignificant insurance risk</t>
    </r>
    <r>
      <rPr>
        <sz val="11"/>
        <color rgb="FF222222"/>
        <rFont val="Calibri"/>
        <family val="2"/>
        <scheme val="minor"/>
      </rPr>
      <t> is assumed by reinsurer (under reinsured portion of contract)</t>
    </r>
  </si>
  <si>
    <r>
      <t>2. requires that a </t>
    </r>
    <r>
      <rPr>
        <b/>
        <u/>
        <sz val="11"/>
        <color rgb="FFFF0000"/>
        <rFont val="Calibri"/>
        <family val="2"/>
        <scheme val="minor"/>
      </rPr>
      <t>S</t>
    </r>
    <r>
      <rPr>
        <u/>
        <sz val="11"/>
        <color rgb="FF222222"/>
        <rFont val="Calibri"/>
        <family val="2"/>
        <scheme val="minor"/>
      </rPr>
      <t>ignificant loss</t>
    </r>
    <r>
      <rPr>
        <sz val="11"/>
        <color rgb="FF222222"/>
        <rFont val="Calibri"/>
        <family val="2"/>
        <scheme val="minor"/>
      </rPr>
      <t> to the reinsurer is reasonably possible</t>
    </r>
  </si>
  <si>
    <t>Should profit commission be considered in a risk transfer test for reinsurance. Explain.</t>
  </si>
  <si>
    <t xml:space="preserve">No, profit commission should not be included in a risk transfer test because results of ceding company have no bearing </t>
  </si>
  <si>
    <t>on whether risk transfer has taken place.</t>
  </si>
  <si>
    <t>EPR</t>
  </si>
  <si>
    <t>Financial Resources</t>
  </si>
  <si>
    <t>Identify and briefly describe 2 principles of earthquake risk management.</t>
  </si>
  <si>
    <t>Identify and briefly describe 3 sound earthquake modeling practices.</t>
  </si>
  <si>
    <t>risk management</t>
  </si>
  <si>
    <t xml:space="preserve">  - earthquake exposure risk management policies are subject to oversight by Board of</t>
  </si>
  <si>
    <t xml:space="preserve">    Directors and implemented by Senior Management</t>
  </si>
  <si>
    <t>data management</t>
  </si>
  <si>
    <t xml:space="preserve">  - data required is MORE than for traditional ratemaking</t>
  </si>
  <si>
    <r>
      <t xml:space="preserve">  - must address data </t>
    </r>
    <r>
      <rPr>
        <b/>
        <sz val="12"/>
        <color rgb="FFFF0000"/>
        <rFont val="Calibri"/>
        <family val="2"/>
        <scheme val="minor"/>
      </rPr>
      <t>I</t>
    </r>
    <r>
      <rPr>
        <sz val="12"/>
        <color theme="1"/>
        <rFont val="Calibri"/>
        <family val="2"/>
        <scheme val="minor"/>
      </rPr>
      <t xml:space="preserve">ntegrity, </t>
    </r>
    <r>
      <rPr>
        <b/>
        <sz val="12"/>
        <color rgb="FFFF0000"/>
        <rFont val="Calibri"/>
        <family val="2"/>
        <scheme val="minor"/>
      </rPr>
      <t>V</t>
    </r>
    <r>
      <rPr>
        <sz val="12"/>
        <color theme="1"/>
        <rFont val="Calibri"/>
        <family val="2"/>
        <scheme val="minor"/>
      </rPr>
      <t xml:space="preserve">erification, </t>
    </r>
    <r>
      <rPr>
        <b/>
        <sz val="12"/>
        <color rgb="FFFF0000"/>
        <rFont val="Calibri"/>
        <family val="2"/>
        <scheme val="minor"/>
      </rPr>
      <t>L</t>
    </r>
    <r>
      <rPr>
        <sz val="12"/>
        <color theme="1"/>
        <rFont val="Calibri"/>
        <family val="2"/>
        <scheme val="minor"/>
      </rPr>
      <t>imitations (</t>
    </r>
    <r>
      <rPr>
        <b/>
        <sz val="12"/>
        <color rgb="FFFF0000"/>
        <rFont val="Calibri"/>
        <family val="2"/>
        <scheme val="minor"/>
      </rPr>
      <t>IVL</t>
    </r>
    <r>
      <rPr>
        <sz val="12"/>
        <color theme="1"/>
        <rFont val="Calibri"/>
        <family val="2"/>
        <scheme val="minor"/>
      </rPr>
      <t>)</t>
    </r>
  </si>
  <si>
    <t>models</t>
  </si>
  <si>
    <t xml:space="preserve">  - understand (assumptions, methods, limitations) of earthquake models</t>
  </si>
  <si>
    <r>
      <rPr>
        <b/>
        <sz val="12"/>
        <color theme="1"/>
        <rFont val="Calibri"/>
        <family val="2"/>
        <scheme val="minor"/>
      </rPr>
      <t>PML</t>
    </r>
    <r>
      <rPr>
        <sz val="12"/>
        <color theme="1"/>
        <rFont val="Calibri"/>
        <family val="2"/>
        <scheme val="minor"/>
      </rPr>
      <t xml:space="preserve"> </t>
    </r>
    <r>
      <rPr>
        <i/>
        <sz val="12"/>
        <color theme="1"/>
        <rFont val="Calibri"/>
        <family val="2"/>
        <scheme val="minor"/>
      </rPr>
      <t>(Probable Maximum Loss)</t>
    </r>
  </si>
  <si>
    <t xml:space="preserve">  - PML = Total Expected Ultimate Cost</t>
  </si>
  <si>
    <t xml:space="preserve">  - includes considerations for data quality, non-modeled exposure, model uncertainty</t>
  </si>
  <si>
    <t xml:space="preserve">    multi-region exposure</t>
  </si>
  <si>
    <t>financial resources &amp; contingency plan</t>
  </si>
  <si>
    <t xml:space="preserve">  - Financial Resources: quantification of how financial resources cover PML</t>
  </si>
  <si>
    <t xml:space="preserve">  - Contingency Plan: how to continue efficient business operations after disaster</t>
  </si>
  <si>
    <r>
      <t xml:space="preserve">[Hint: </t>
    </r>
    <r>
      <rPr>
        <b/>
        <sz val="12"/>
        <color rgb="FFFF0000"/>
        <rFont val="Calibri"/>
        <family val="2"/>
        <scheme val="minor"/>
      </rPr>
      <t>DAQKD-UP</t>
    </r>
    <r>
      <rPr>
        <sz val="12"/>
        <color theme="1"/>
        <rFont val="Calibri"/>
        <family val="2"/>
        <scheme val="minor"/>
      </rPr>
      <t>]</t>
    </r>
  </si>
  <si>
    <r>
      <t xml:space="preserve">  </t>
    </r>
    <r>
      <rPr>
        <b/>
        <sz val="12"/>
        <color rgb="FFFF0000"/>
        <rFont val="Calibri"/>
        <family val="2"/>
        <scheme val="minor"/>
      </rPr>
      <t>D</t>
    </r>
    <r>
      <rPr>
        <sz val="12"/>
        <color theme="1"/>
        <rFont val="Calibri"/>
        <family val="2"/>
        <scheme val="minor"/>
      </rPr>
      <t>ocs:</t>
    </r>
  </si>
  <si>
    <t>- document use of model within risk management program</t>
  </si>
  <si>
    <r>
      <t xml:space="preserve">  </t>
    </r>
    <r>
      <rPr>
        <b/>
        <sz val="12"/>
        <color rgb="FFFF0000"/>
        <rFont val="Calibri"/>
        <family val="2"/>
        <scheme val="minor"/>
      </rPr>
      <t>A</t>
    </r>
    <r>
      <rPr>
        <sz val="12"/>
        <color theme="1"/>
        <rFont val="Calibri"/>
        <family val="2"/>
        <scheme val="minor"/>
      </rPr>
      <t>lternative:</t>
    </r>
  </si>
  <si>
    <t>- explain why a particular model is used versus alternatives</t>
  </si>
  <si>
    <r>
      <t xml:space="preserve">  </t>
    </r>
    <r>
      <rPr>
        <b/>
        <sz val="12"/>
        <color rgb="FFFF0000"/>
        <rFont val="Calibri"/>
        <family val="2"/>
        <scheme val="minor"/>
      </rPr>
      <t>Q</t>
    </r>
    <r>
      <rPr>
        <sz val="12"/>
        <color theme="1"/>
        <rFont val="Calibri"/>
        <family val="2"/>
        <scheme val="minor"/>
      </rPr>
      <t>ualified:</t>
    </r>
  </si>
  <si>
    <t>- qualified staff needed to run in-house models regularly</t>
  </si>
  <si>
    <r>
      <t xml:space="preserve">  </t>
    </r>
    <r>
      <rPr>
        <b/>
        <sz val="12"/>
        <color rgb="FFFF0000"/>
        <rFont val="Calibri"/>
        <family val="2"/>
        <scheme val="minor"/>
      </rPr>
      <t>K</t>
    </r>
    <r>
      <rPr>
        <sz val="12"/>
        <color theme="1"/>
        <rFont val="Calibri"/>
        <family val="2"/>
        <scheme val="minor"/>
      </rPr>
      <t>nowledge:</t>
    </r>
  </si>
  <si>
    <t>- AML (require KNOWLEDGE of Assumptions, Methods, Limits of Model)</t>
  </si>
  <si>
    <r>
      <t xml:space="preserve">  </t>
    </r>
    <r>
      <rPr>
        <b/>
        <sz val="12"/>
        <color rgb="FFFF0000"/>
        <rFont val="Calibri"/>
        <family val="2"/>
        <scheme val="minor"/>
      </rPr>
      <t>D</t>
    </r>
    <r>
      <rPr>
        <sz val="12"/>
        <color theme="1"/>
        <rFont val="Calibri"/>
        <family val="2"/>
        <scheme val="minor"/>
      </rPr>
      <t>ata:</t>
    </r>
  </si>
  <si>
    <t>- must show that GRANULARITY &amp; QUALITY of data is appropriate</t>
  </si>
  <si>
    <r>
      <t xml:space="preserve">  </t>
    </r>
    <r>
      <rPr>
        <b/>
        <sz val="12"/>
        <color rgb="FFFF0000"/>
        <rFont val="Calibri"/>
        <family val="2"/>
        <scheme val="minor"/>
      </rPr>
      <t>U</t>
    </r>
    <r>
      <rPr>
        <sz val="12"/>
        <color theme="1"/>
        <rFont val="Calibri"/>
        <family val="2"/>
        <scheme val="minor"/>
      </rPr>
      <t>ncertainty:</t>
    </r>
  </si>
  <si>
    <t>- understand how uncertainty affects: (capital adequacy, reinsurance)</t>
  </si>
  <si>
    <r>
      <t xml:space="preserve">  </t>
    </r>
    <r>
      <rPr>
        <b/>
        <sz val="12"/>
        <color rgb="FFFF0000"/>
        <rFont val="Calibri"/>
        <family val="2"/>
        <scheme val="minor"/>
      </rPr>
      <t>P</t>
    </r>
    <r>
      <rPr>
        <sz val="12"/>
        <color theme="1"/>
        <rFont val="Calibri"/>
        <family val="2"/>
        <scheme val="minor"/>
      </rPr>
      <t>ML:</t>
    </r>
  </si>
  <si>
    <r>
      <t>- if PML</t>
    </r>
    <r>
      <rPr>
        <vertAlign val="subscript"/>
        <sz val="12"/>
        <color theme="1"/>
        <rFont val="Calibri"/>
        <family val="2"/>
        <scheme val="minor"/>
      </rPr>
      <t>1</t>
    </r>
    <r>
      <rPr>
        <sz val="12"/>
        <color theme="1"/>
        <rFont val="Calibri"/>
        <family val="2"/>
        <scheme val="minor"/>
      </rPr>
      <t xml:space="preserve"> &lt;&gt; PML</t>
    </r>
    <r>
      <rPr>
        <vertAlign val="subscript"/>
        <sz val="12"/>
        <color theme="1"/>
        <rFont val="Calibri"/>
        <family val="2"/>
        <scheme val="minor"/>
      </rPr>
      <t>2</t>
    </r>
    <r>
      <rPr>
        <sz val="12"/>
        <color theme="1"/>
        <rFont val="Calibri"/>
        <family val="2"/>
        <scheme val="minor"/>
      </rPr>
      <t>: explain (differences, subsequent model adjustments)</t>
    </r>
  </si>
  <si>
    <t>Identify any 2 of the 7 goals of Alberta insurance reform.</t>
  </si>
  <si>
    <t>private sector delivery model</t>
  </si>
  <si>
    <t>reduce costs</t>
  </si>
  <si>
    <r>
      <t>claims handling</t>
    </r>
    <r>
      <rPr>
        <sz val="11"/>
        <color rgb="FF222222"/>
        <rFont val="Calibri"/>
        <family val="2"/>
        <scheme val="minor"/>
      </rPr>
      <t> - effective &amp; efficient</t>
    </r>
  </si>
  <si>
    <r>
      <t>medical benefits</t>
    </r>
    <r>
      <rPr>
        <sz val="11"/>
        <color rgb="FF222222"/>
        <rFont val="Calibri"/>
        <family val="2"/>
        <scheme val="minor"/>
      </rPr>
      <t> - make sure they are appropriate</t>
    </r>
  </si>
  <si>
    <r>
      <t>income replacement</t>
    </r>
    <r>
      <rPr>
        <sz val="11"/>
        <color rgb="FF222222"/>
        <rFont val="Calibri"/>
        <family val="2"/>
        <scheme val="minor"/>
      </rPr>
      <t> - easier access</t>
    </r>
  </si>
  <si>
    <r>
      <t>stabilize rates</t>
    </r>
    <r>
      <rPr>
        <sz val="11"/>
        <color rgb="FF222222"/>
        <rFont val="Calibri"/>
        <family val="2"/>
        <scheme val="minor"/>
      </rPr>
      <t> - should be affordable for all Albertans</t>
    </r>
  </si>
  <si>
    <r>
      <t>sustainability</t>
    </r>
    <r>
      <rPr>
        <sz val="11"/>
        <color rgb="FF222222"/>
        <rFont val="Calibri"/>
        <family val="2"/>
        <scheme val="minor"/>
      </rPr>
      <t> - the needs of insureds, "traffic-injured" persons, and insurance providers need to be met</t>
    </r>
  </si>
  <si>
    <t>No, must be a FCIA.</t>
  </si>
  <si>
    <t>This actuary is an ACIA. She has worked at ABC for 4 years and does</t>
  </si>
  <si>
    <t>not own any stock in ABC.</t>
  </si>
  <si>
    <t>This actuary worked at ABC under the AA for 4 years and left 6 years ago.</t>
  </si>
  <si>
    <t>He owns stock in ABC and receives quarterly dividends from that stock.</t>
  </si>
  <si>
    <t>This actuary is a FCIA. He owns a mutual fund that owns shares in ABC,</t>
  </si>
  <si>
    <t>but left ABC 2 years ago.</t>
  </si>
  <si>
    <t>No. Although he has no direct interest in ABC (only an indirect interest through the mutual fund)</t>
  </si>
  <si>
    <t>he must not have worked for ABC for at least 3 years.</t>
  </si>
  <si>
    <t>No, because this actuary has a direct interest in the company through his stock ownership.</t>
  </si>
  <si>
    <t>D:</t>
  </si>
  <si>
    <t>Yes, because she left ABC at least 3 years ago and has the required reserving experience at</t>
  </si>
  <si>
    <t>2 other insurers.</t>
  </si>
  <si>
    <r>
      <t>[Hint: </t>
    </r>
    <r>
      <rPr>
        <b/>
        <sz val="11"/>
        <color rgb="FFFF0000"/>
        <rFont val="Calibri"/>
        <family val="2"/>
        <scheme val="minor"/>
      </rPr>
      <t>FCC(ES)</t>
    </r>
    <r>
      <rPr>
        <sz val="11"/>
        <color rgb="FF222222"/>
        <rFont val="Calibri"/>
        <family val="2"/>
        <scheme val="minor"/>
      </rPr>
      <t>]</t>
    </r>
  </si>
  <si>
    <t>She owns no stock and has worked in reserving for 2 other insurers.</t>
  </si>
  <si>
    <t>from page 20.11 - Statemet of Financial Position - Liabilities &amp; Equity</t>
  </si>
  <si>
    <t>Line</t>
  </si>
  <si>
    <t>Policyholders' Equity</t>
  </si>
  <si>
    <t>410</t>
  </si>
  <si>
    <t>Residual Interest (Non-Stock)</t>
  </si>
  <si>
    <t>420</t>
  </si>
  <si>
    <t xml:space="preserve">Participating Account </t>
  </si>
  <si>
    <t>430</t>
  </si>
  <si>
    <t xml:space="preserve">Participating Account - Accumulated OCI (Loss)  </t>
  </si>
  <si>
    <t>440</t>
  </si>
  <si>
    <t>Non-Participating Account</t>
  </si>
  <si>
    <t>450</t>
  </si>
  <si>
    <t xml:space="preserve">Non-Participating Account - Accumulated OCI (Loss) </t>
  </si>
  <si>
    <t>499</t>
  </si>
  <si>
    <t>Total Policyholders' Equity</t>
  </si>
  <si>
    <t xml:space="preserve">Shareholders' Equity </t>
  </si>
  <si>
    <t>510</t>
  </si>
  <si>
    <t>Common Shares</t>
  </si>
  <si>
    <t>520</t>
  </si>
  <si>
    <t>Preferred Shares</t>
  </si>
  <si>
    <t>530</t>
  </si>
  <si>
    <t>Contributed Surplus</t>
  </si>
  <si>
    <t>540</t>
  </si>
  <si>
    <t xml:space="preserve">Other Capital </t>
  </si>
  <si>
    <t>550</t>
  </si>
  <si>
    <t>560</t>
  </si>
  <si>
    <t>Nuclear and Other Reserves</t>
  </si>
  <si>
    <t>570</t>
  </si>
  <si>
    <t>Accumulated Other Comprehensive Income (Loss)</t>
  </si>
  <si>
    <t>599</t>
  </si>
  <si>
    <t>Total Shareholders' Equity</t>
  </si>
  <si>
    <t>620</t>
  </si>
  <si>
    <t>Non-controlling Interests</t>
  </si>
  <si>
    <t>699</t>
  </si>
  <si>
    <t>Total Equity</t>
  </si>
  <si>
    <t>met</t>
  </si>
  <si>
    <t>Other Information</t>
  </si>
  <si>
    <t>Category B capital</t>
  </si>
  <si>
    <t>Category C capital</t>
  </si>
  <si>
    <t>Contractual service margin (CSM) for title insurance contracts</t>
  </si>
  <si>
    <t>Adjustments to owner-occupied property valuations</t>
  </si>
  <si>
    <t>Deduction for unregistered reinsurance</t>
  </si>
  <si>
    <t>Accumulated other comprehensive income on cash flow hedges</t>
  </si>
  <si>
    <t>Defined benefit pension fund assets and liabilities</t>
  </si>
  <si>
    <t>Conditions for including non-controlling interests in capital available    ========&gt;</t>
  </si>
  <si>
    <t>Step 1:</t>
  </si>
  <si>
    <t xml:space="preserve"> Calculate the total capital available before any adjustments</t>
  </si>
  <si>
    <t>include</t>
  </si>
  <si>
    <t>exclude</t>
  </si>
  <si>
    <t>total ==&gt;</t>
  </si>
  <si>
    <t>Step 2:</t>
  </si>
  <si>
    <t xml:space="preserve"> Apply adjustments other than capital composition limits</t>
  </si>
  <si>
    <t>Gross capital available from step 1</t>
  </si>
  <si>
    <t>addition</t>
  </si>
  <si>
    <t>addition (could be negative)</t>
  </si>
  <si>
    <t>Step 3:</t>
  </si>
  <si>
    <t xml:space="preserve"> Check capital composition limits for category B &amp; C capital and reduce capital available if necessary</t>
  </si>
  <si>
    <t>B+C</t>
  </si>
  <si>
    <t>BC Limit</t>
  </si>
  <si>
    <t>C Limit</t>
  </si>
  <si>
    <t>So we have:</t>
  </si>
  <si>
    <t>exclude maximum of excess amounts</t>
  </si>
  <si>
    <t>Final answer for MCT capital available</t>
  </si>
  <si>
    <t>maximum of excess amounts</t>
  </si>
  <si>
    <t>CAPITAL REQUIRED</t>
  </si>
  <si>
    <t>CAPITAL AVAILABLE</t>
  </si>
  <si>
    <t xml:space="preserve">  component: earthquake</t>
  </si>
  <si>
    <t xml:space="preserve">  component: nuclear</t>
  </si>
  <si>
    <r>
      <t xml:space="preserve">  (sum the components) </t>
    </r>
    <r>
      <rPr>
        <sz val="11"/>
        <rFont val="Calibri"/>
        <family val="2"/>
        <scheme val="minor"/>
      </rPr>
      <t xml:space="preserve">[Hint: </t>
    </r>
    <r>
      <rPr>
        <b/>
        <sz val="11"/>
        <color rgb="FFFF0000"/>
        <rFont val="Calibri"/>
        <family val="2"/>
        <scheme val="minor"/>
      </rPr>
      <t>Mr.</t>
    </r>
    <r>
      <rPr>
        <sz val="11"/>
        <rFont val="Calibri"/>
        <family val="2"/>
        <scheme val="minor"/>
      </rPr>
      <t xml:space="preserve"> </t>
    </r>
    <r>
      <rPr>
        <b/>
        <sz val="11"/>
        <color rgb="FFFF0000"/>
        <rFont val="Calibri"/>
        <family val="2"/>
        <scheme val="minor"/>
      </rPr>
      <t>IFERRO</t>
    </r>
    <r>
      <rPr>
        <sz val="11"/>
        <rFont val="Calibri"/>
        <family val="2"/>
        <scheme val="minor"/>
      </rPr>
      <t>]</t>
    </r>
  </si>
  <si>
    <t xml:space="preserve">  component: foreign exchange risk</t>
  </si>
  <si>
    <t xml:space="preserve">  component: right-of-use asset risk</t>
  </si>
  <si>
    <t xml:space="preserve">  component: equity risk</t>
  </si>
  <si>
    <t xml:space="preserve">  component: real estate risk</t>
  </si>
  <si>
    <t>net LIC for insurance contracts issued (including risk adjustment)</t>
  </si>
  <si>
    <t>net AIC for reinsurance contracts held (including risk adjustment)</t>
  </si>
  <si>
    <t>risk adjustment for non-financial risk for insurance contracts issued</t>
  </si>
  <si>
    <t>risk adjustment for non-financial risk for reinsurance contracts held</t>
  </si>
  <si>
    <t>average risk factor for net incurred claims</t>
  </si>
  <si>
    <t>unexpired coverage for insurance contracts issued</t>
  </si>
  <si>
    <t>unexpired coverage for reinsurance contracts held</t>
  </si>
  <si>
    <t>net premiums received past 12 months</t>
  </si>
  <si>
    <t>average risk factor for net unexpired coverage</t>
  </si>
  <si>
    <t>margin (capital required) for unregistered reinsurance</t>
  </si>
  <si>
    <t>margin (capital required) for earthquakes</t>
  </si>
  <si>
    <t>premium received on nuclear risk policies</t>
  </si>
  <si>
    <t>premium paid on nuclear risk policies</t>
  </si>
  <si>
    <t>commissions related to nuclear risk policies</t>
  </si>
  <si>
    <t>LIC</t>
  </si>
  <si>
    <t xml:space="preserve"> margin(LIC)</t>
  </si>
  <si>
    <t>(risk fctr)</t>
  </si>
  <si>
    <t>[ net LIC(issued) excl. RANF   –   AIC(re held) excl RANF ]</t>
  </si>
  <si>
    <t>unexpired coverage</t>
  </si>
  <si>
    <t>margin(unexpired coverage)</t>
  </si>
  <si>
    <t>MAX [ (net unexpired coverage) , 30% x (net premiums received past 12 months) ]</t>
  </si>
  <si>
    <t>unregistered reinsurance</t>
  </si>
  <si>
    <t>this was given</t>
  </si>
  <si>
    <t>earthquakes</t>
  </si>
  <si>
    <t>nuclear</t>
  </si>
  <si>
    <t>margin(nuclear)</t>
  </si>
  <si>
    <t>( premiums received ) - ( premiums paid ) - commissions</t>
  </si>
  <si>
    <t>Sum the components (earthquake &amp; nuclear together are considered 1 component in the source text)</t>
  </si>
  <si>
    <t>final answer for total capital required for INSURANCE RISK</t>
  </si>
  <si>
    <t xml:space="preserve">  component: LIC</t>
  </si>
  <si>
    <t xml:space="preserve">  component: unexpired coverage</t>
  </si>
  <si>
    <t>duration</t>
  </si>
  <si>
    <t>interest rate sensitive assets</t>
  </si>
  <si>
    <t>interest rate sensitive liabilities</t>
  </si>
  <si>
    <t xml:space="preserve"> Calculate the value of "A" (asset calculation)</t>
  </si>
  <si>
    <t>(asset duration)</t>
  </si>
  <si>
    <t>Δy</t>
  </si>
  <si>
    <t>(asset value)</t>
  </si>
  <si>
    <t xml:space="preserve"> Calculate the value of "B" (liability calculation)</t>
  </si>
  <si>
    <t>(liability duration)</t>
  </si>
  <si>
    <t>(liability value)</t>
  </si>
  <si>
    <t>Step 3</t>
  </si>
  <si>
    <t xml:space="preserve"> Calculate the margin for interest rate risk</t>
  </si>
  <si>
    <t>F</t>
  </si>
  <si>
    <t>|</t>
  </si>
  <si>
    <r>
      <t xml:space="preserve">The capital required for </t>
    </r>
    <r>
      <rPr>
        <u/>
        <sz val="11"/>
        <color theme="1"/>
        <rFont val="Calibri"/>
        <family val="2"/>
        <scheme val="minor"/>
      </rPr>
      <t xml:space="preserve">right-of-use asset </t>
    </r>
    <r>
      <rPr>
        <sz val="11"/>
        <color theme="1"/>
        <rFont val="Calibri"/>
        <family val="2"/>
        <scheme val="minor"/>
      </rPr>
      <t>risk is:</t>
    </r>
  </si>
  <si>
    <r>
      <t xml:space="preserve">The capital required for </t>
    </r>
    <r>
      <rPr>
        <u/>
        <sz val="11"/>
        <color theme="1"/>
        <rFont val="Calibri"/>
        <family val="2"/>
        <scheme val="minor"/>
      </rPr>
      <t xml:space="preserve">other market </t>
    </r>
    <r>
      <rPr>
        <sz val="11"/>
        <color theme="1"/>
        <rFont val="Calibri"/>
        <family val="2"/>
        <scheme val="minor"/>
      </rPr>
      <t>risk is:</t>
    </r>
  </si>
  <si>
    <t>These amounts relate to components of market risk:</t>
  </si>
  <si>
    <t>(final answer for interest rate risk)</t>
  </si>
  <si>
    <t>INSURANCE RISK</t>
  </si>
  <si>
    <t>selected MARKET RISK components ==&gt; interest rate risk</t>
  </si>
  <si>
    <t>OPERATIONAL RISK</t>
  </si>
  <si>
    <t>page</t>
  </si>
  <si>
    <t>line</t>
  </si>
  <si>
    <t>item</t>
  </si>
  <si>
    <t>Adjusted Equity</t>
  </si>
  <si>
    <t>Investment Yield</t>
  </si>
  <si>
    <t>Return on Equity</t>
  </si>
  <si>
    <t>Agents and Brokers Balances Due from Subs and Associates as a % of Adjusted Eq.</t>
  </si>
  <si>
    <t>Claims Development as a % of Adjusted Equity</t>
  </si>
  <si>
    <t>Calculate "adjusted equity" from page 10.60 (Summary of Selected Financial Data for FIVE YEARS)</t>
  </si>
  <si>
    <t>Calculate "investment yield" from page 10.60 (Summary of Selected Financial Data for FIVE YEARS)</t>
  </si>
  <si>
    <t>Calculate "return on equity" from page 10.60 (Summary of Selected Financial Data for FIVE YEARS)</t>
  </si>
  <si>
    <t>Calculate "Agents and Brokers Balances Due from Subs and Associates as a % of Adjusted Eq." from</t>
  </si>
  <si>
    <t>page 10.60 (Summary of Selected Financial Data for FIVE YEARS)</t>
  </si>
  <si>
    <t>Calculate "Claims Development as a % of Adjusted Equity" from page 10.60 (Summary of Selected Financial Data for</t>
  </si>
  <si>
    <t>FIVE YEARS)</t>
  </si>
  <si>
    <t>Statement of Financial Position:</t>
  </si>
  <si>
    <t>Assets</t>
  </si>
  <si>
    <t>year (x)</t>
  </si>
  <si>
    <t>year (x-1)</t>
  </si>
  <si>
    <t>symbol</t>
  </si>
  <si>
    <t>20.10</t>
  </si>
  <si>
    <t>01</t>
  </si>
  <si>
    <t>Cash &amp; Cash Equivalents</t>
  </si>
  <si>
    <t>11</t>
  </si>
  <si>
    <t>Accrued Investment Income</t>
  </si>
  <si>
    <t>InvInc</t>
  </si>
  <si>
    <t>14</t>
  </si>
  <si>
    <t>Investments</t>
  </si>
  <si>
    <t>Inv</t>
  </si>
  <si>
    <t>Total ==&gt;</t>
  </si>
  <si>
    <t>Ve</t>
  </si>
  <si>
    <t>Vb</t>
  </si>
  <si>
    <t>V</t>
  </si>
  <si>
    <t xml:space="preserve">Statement of Financial Position: </t>
  </si>
  <si>
    <t>Liabilities &amp; Equity</t>
  </si>
  <si>
    <t>20.11</t>
  </si>
  <si>
    <t>Non-Controlling Interests</t>
  </si>
  <si>
    <t>NCI</t>
  </si>
  <si>
    <t>Statement of Profit or Loss</t>
  </si>
  <si>
    <t>20.22</t>
  </si>
  <si>
    <t>300</t>
  </si>
  <si>
    <t>Investment Return</t>
  </si>
  <si>
    <t>415</t>
  </si>
  <si>
    <t>Share of Net Income (Loss) of Equity Accounted Investees</t>
  </si>
  <si>
    <t>PI</t>
  </si>
  <si>
    <t>999</t>
  </si>
  <si>
    <t>Net Income (Loss) for Year</t>
  </si>
  <si>
    <t>Capital Required (calculated in the Capital Return)</t>
  </si>
  <si>
    <t>n/a</t>
  </si>
  <si>
    <t>Catastrophe Reserves</t>
  </si>
  <si>
    <t>CatResv</t>
  </si>
  <si>
    <t>Reinsurance held with Unregistered Insurers</t>
  </si>
  <si>
    <t>UnregRe</t>
  </si>
  <si>
    <t>Receivables-unaffiliated agents and brokers</t>
  </si>
  <si>
    <t>--</t>
  </si>
  <si>
    <t>Receivables-subsidiaries, associates and joint ventures</t>
  </si>
  <si>
    <t>10</t>
  </si>
  <si>
    <t>Amount: excess or (deficiency)</t>
  </si>
  <si>
    <t>2  x  (</t>
  </si>
  <si>
    <t>)  x  100</t>
  </si>
  <si>
    <t>NOT a %, because the numerator contains multiplication by 100 (which seems strange)</t>
  </si>
  <si>
    <t>2  x</t>
  </si>
  <si>
    <t>x  100</t>
  </si>
  <si>
    <t>Eb</t>
  </si>
  <si>
    <t>is the same as</t>
  </si>
  <si>
    <t>E(x-1)</t>
  </si>
  <si>
    <t>Ee)</t>
  </si>
  <si>
    <t>Ee</t>
  </si>
  <si>
    <t>E(x)</t>
  </si>
  <si>
    <t>this IS a % (because the formula does NOT multiply by 100)</t>
  </si>
  <si>
    <t>Adjusted equity (page 10.60, line 04)</t>
  </si>
  <si>
    <t>For parts (a) - (e) use the financial statement data given below.</t>
  </si>
  <si>
    <t>Identify all values of A that result in an excess for column (29) on page 60.35 of the financial statements.</t>
  </si>
  <si>
    <t xml:space="preserve">  page 60.35, column (22)</t>
  </si>
  <si>
    <t xml:space="preserve">  page 60.35, column (24)</t>
  </si>
  <si>
    <t xml:space="preserve">  page 60.35, column (26)</t>
  </si>
  <si>
    <t>undiscounted liabilities at Dec 31, 2021 for AYs 2021 &amp; prior</t>
  </si>
  <si>
    <t>paid during CY 2022 for AYs 2021 &amp; prior</t>
  </si>
  <si>
    <t>undiscounted liabilities at Dec 31, 2022 for AYs 2021 &amp; prior</t>
  </si>
  <si>
    <t>excess (deficiency)</t>
  </si>
  <si>
    <t>So any value of A greater than 475 will result in an excess. (Note that A = 475 will NOT work.)</t>
  </si>
  <si>
    <t xml:space="preserve"> &lt;== years</t>
  </si>
  <si>
    <t xml:space="preserve"> ==&gt; heavier than normal rain - minor flooding</t>
  </si>
  <si>
    <t xml:space="preserve"> ==&gt; stock market deterioration with high inflation</t>
  </si>
  <si>
    <r>
      <t xml:space="preserve">ripple effect for stock market deterioration: </t>
    </r>
    <r>
      <rPr>
        <i/>
        <sz val="11"/>
        <color theme="1"/>
        <rFont val="Calibri"/>
        <family val="2"/>
        <scheme val="minor"/>
      </rPr>
      <t>(many answers possible)</t>
    </r>
  </si>
  <si>
    <t xml:space="preserve"> ==&gt; hurricane in eastern Canada</t>
  </si>
  <si>
    <r>
      <t xml:space="preserve">corrective management action for hurricane in eastern Canada: </t>
    </r>
    <r>
      <rPr>
        <i/>
        <sz val="11"/>
        <color theme="1"/>
        <rFont val="Calibri"/>
        <family val="2"/>
        <scheme val="minor"/>
      </rPr>
      <t>(many answers possible)</t>
    </r>
  </si>
  <si>
    <r>
      <t xml:space="preserve">corrective management action for stock market deterioration and high inflation: </t>
    </r>
    <r>
      <rPr>
        <i/>
        <sz val="11"/>
        <color theme="1"/>
        <rFont val="Calibri"/>
        <family val="2"/>
        <scheme val="minor"/>
      </rPr>
      <t>(many answers possible)</t>
    </r>
  </si>
  <si>
    <t>According to the IAA (International Association of Actuaries) what are two things</t>
  </si>
  <si>
    <t>that appointed actuaries should comment on about climate risk?</t>
  </si>
  <si>
    <t xml:space="preserve"> - claims on insured events due to increased frequency and severity of hurricanes, wildfires and floods</t>
  </si>
  <si>
    <t xml:space="preserve"> - loss of value of investment portfolio</t>
  </si>
  <si>
    <t xml:space="preserve"> - increased credit risk</t>
  </si>
  <si>
    <t xml:space="preserve"> - effects of new technologies such as electric vehicles and solar and their effect on insurance pricing and design</t>
  </si>
  <si>
    <t xml:space="preserve"> - shifts in industries that may require changes in products or coverages underwritten</t>
  </si>
  <si>
    <t xml:space="preserve"> - growth and contraction of economic sectors that can affect premium revenues</t>
  </si>
  <si>
    <t xml:space="preserve"> - leading indicators that will prompt pricing ro reflect climate change risks</t>
  </si>
  <si>
    <t xml:space="preserve"> - regulatory and legal changes that can emerge rapidly over short time frames</t>
  </si>
  <si>
    <t xml:space="preserve"> - new products and designs as well as industry developments</t>
  </si>
  <si>
    <t xml:space="preserve"> - regulation of trade &amp; commerce doesn't extend to a licensing system of a particular trade</t>
  </si>
  <si>
    <t>The benefits identified in part (a) are fair but are not delivered fairly. Briefly describe two</t>
  </si>
  <si>
    <t>Briefly describe how physical climate risk can affect P&amp;C insurers.</t>
  </si>
  <si>
    <r>
      <t xml:space="preserve">ripple effect for hurricane: </t>
    </r>
    <r>
      <rPr>
        <i/>
        <sz val="11"/>
        <color theme="1"/>
        <rFont val="Calibri"/>
        <family val="2"/>
        <scheme val="minor"/>
      </rPr>
      <t>(many answers possible)</t>
    </r>
  </si>
  <si>
    <t>fail</t>
  </si>
  <si>
    <t>is not</t>
  </si>
  <si>
    <t>McD.Intro</t>
  </si>
  <si>
    <t>Harris.Tort</t>
  </si>
  <si>
    <t>Given the following information, calculate Insurer A's participation ratio in the Risk-Sharing</t>
  </si>
  <si>
    <t>Briefly describe how transition risk related to climate change can affect P&amp;C insurers.</t>
  </si>
  <si>
    <t>Marshall.Benefits, AB.Auto</t>
  </si>
  <si>
    <t>Briefly describe the continuum of rate regulation approaches in Canada.</t>
  </si>
  <si>
    <t xml:space="preserve"> - active regulation (government mandated, prior approval)</t>
  </si>
  <si>
    <t xml:space="preserve"> - moderate regulation (file &amp; use, use &amp; file, flex rating)</t>
  </si>
  <si>
    <t xml:space="preserve"> - competitive ( file only, open competition)</t>
  </si>
  <si>
    <t>In 2019, the federal, provincial, and territorial (FPT) governments approved the</t>
  </si>
  <si>
    <t>Emergency Management Strategy for Canada: Toward a Resilient 2030 (EMS). It is a</t>
  </si>
  <si>
    <t>long term, strategic vision for emergency management.</t>
  </si>
  <si>
    <t xml:space="preserve"> Identify 5 priority areas for action under EMS (Emergency Management Strategy)
</t>
  </si>
  <si>
    <r>
      <rPr>
        <b/>
        <sz val="11"/>
        <color rgb="FF7030A0"/>
        <rFont val="Calibri"/>
        <family val="2"/>
        <scheme val="minor"/>
      </rPr>
      <t>Enhance</t>
    </r>
    <r>
      <rPr>
        <sz val="11"/>
        <color theme="1"/>
        <rFont val="Calibri"/>
        <family val="2"/>
        <scheme val="minor"/>
      </rPr>
      <t xml:space="preserve"> whole-of-society collaboration</t>
    </r>
  </si>
  <si>
    <r>
      <rPr>
        <b/>
        <sz val="11"/>
        <color rgb="FF7030A0"/>
        <rFont val="Calibri"/>
        <family val="2"/>
        <scheme val="minor"/>
      </rPr>
      <t>Enhance</t>
    </r>
    <r>
      <rPr>
        <sz val="11"/>
        <color theme="1"/>
        <rFont val="Calibri"/>
        <family val="2"/>
        <scheme val="minor"/>
      </rPr>
      <t xml:space="preserve"> disaster response capacity</t>
    </r>
  </si>
  <si>
    <r>
      <rPr>
        <b/>
        <sz val="11"/>
        <color rgb="FF00B050"/>
        <rFont val="Calibri"/>
        <family val="2"/>
        <scheme val="minor"/>
      </rPr>
      <t>Improve</t>
    </r>
    <r>
      <rPr>
        <sz val="11"/>
        <color theme="1"/>
        <rFont val="Calibri"/>
        <family val="2"/>
        <scheme val="minor"/>
      </rPr>
      <t xml:space="preserve"> understanding of disaster risks</t>
    </r>
  </si>
  <si>
    <r>
      <rPr>
        <b/>
        <sz val="11"/>
        <color rgb="FF00B050"/>
        <rFont val="Calibri"/>
        <family val="2"/>
        <scheme val="minor"/>
      </rPr>
      <t>Increase</t>
    </r>
    <r>
      <rPr>
        <sz val="11"/>
        <color theme="1"/>
        <rFont val="Calibri"/>
        <family val="2"/>
        <scheme val="minor"/>
      </rPr>
      <t xml:space="preserve"> focus on whole-of-society prevention and mitigation</t>
    </r>
  </si>
  <si>
    <r>
      <rPr>
        <b/>
        <sz val="11"/>
        <color rgb="FF00B050"/>
        <rFont val="Calibri"/>
        <family val="2"/>
        <scheme val="minor"/>
      </rPr>
      <t>Strengthen</t>
    </r>
    <r>
      <rPr>
        <sz val="11"/>
        <color theme="1"/>
        <rFont val="Calibri"/>
        <family val="2"/>
        <scheme val="minor"/>
      </rPr>
      <t xml:space="preserve"> recovery efforts by building back better to minimize the impacts of future disasters</t>
    </r>
  </si>
  <si>
    <t>Alice couldn't think of a mnemonic here, but she color-coded the first word of each reason.</t>
  </si>
  <si>
    <t>==&gt;</t>
  </si>
  <si>
    <r>
      <t xml:space="preserve">"Enhance" is in </t>
    </r>
    <r>
      <rPr>
        <b/>
        <sz val="11"/>
        <color rgb="FF7030A0"/>
        <rFont val="Calibri"/>
        <family val="2"/>
        <scheme val="minor"/>
      </rPr>
      <t>purple font</t>
    </r>
    <r>
      <rPr>
        <sz val="11"/>
        <color theme="1"/>
        <rFont val="Calibri"/>
        <family val="2"/>
        <scheme val="minor"/>
      </rPr>
      <t xml:space="preserve"> (just to make it stand out)</t>
    </r>
  </si>
  <si>
    <r>
      <t xml:space="preserve">"Improve / Increase / Strengthen" have similar positive meanings so are in </t>
    </r>
    <r>
      <rPr>
        <b/>
        <sz val="11"/>
        <color rgb="FF00B050"/>
        <rFont val="Calibri"/>
        <family val="2"/>
        <scheme val="minor"/>
      </rPr>
      <t>green font</t>
    </r>
  </si>
  <si>
    <t>So here are the 5 priority areas under EMS:</t>
  </si>
  <si>
    <t>Identify and briefly describe the key drivers of Canada's flood risk.</t>
  </si>
  <si>
    <t>Population growth and urban development:</t>
  </si>
  <si>
    <t xml:space="preserve"> - urban densification in flood-prone areas contributes to flood risk (70% of Canada's population)</t>
  </si>
  <si>
    <t xml:space="preserve"> - urban centers are more prone to flood risks due to their location on or near floodplains and coastlines</t>
  </si>
  <si>
    <r>
      <rPr>
        <b/>
        <sz val="11"/>
        <color theme="1"/>
        <rFont val="Calibri"/>
        <family val="2"/>
        <scheme val="minor"/>
      </rPr>
      <t>Climate change:</t>
    </r>
    <r>
      <rPr>
        <sz val="11"/>
        <color theme="1"/>
        <rFont val="Calibri"/>
        <family val="2"/>
        <scheme val="minor"/>
      </rPr>
      <t xml:space="preserve"> [Hint: </t>
    </r>
    <r>
      <rPr>
        <b/>
        <sz val="11"/>
        <color rgb="FFFF0000"/>
        <rFont val="Calibri"/>
        <family val="2"/>
        <scheme val="minor"/>
      </rPr>
      <t>HEAR</t>
    </r>
    <r>
      <rPr>
        <sz val="11"/>
        <color theme="1"/>
        <rFont val="Calibri"/>
        <family val="2"/>
        <scheme val="minor"/>
      </rPr>
      <t xml:space="preserve"> me now! Or we're all doomed!]</t>
    </r>
  </si>
  <si>
    <r>
      <rPr>
        <b/>
        <sz val="11"/>
        <color rgb="FFFF0000"/>
        <rFont val="Calibri"/>
        <family val="2"/>
        <scheme val="minor"/>
      </rPr>
      <t>H</t>
    </r>
    <r>
      <rPr>
        <sz val="11"/>
        <color theme="1"/>
        <rFont val="Calibri"/>
        <family val="2"/>
        <scheme val="minor"/>
      </rPr>
      <t>eat-induced Risks - heat promotes wildfires and droughts, destroying vegetation and increasing runoff</t>
    </r>
  </si>
  <si>
    <r>
      <rPr>
        <b/>
        <sz val="11"/>
        <color rgb="FFFF0000"/>
        <rFont val="Calibri"/>
        <family val="2"/>
        <scheme val="minor"/>
      </rPr>
      <t>E</t>
    </r>
    <r>
      <rPr>
        <sz val="11"/>
        <color theme="1"/>
        <rFont val="Calibri"/>
        <family val="2"/>
        <scheme val="minor"/>
      </rPr>
      <t>xtreme Precipitation - due to warmer temperatures (creates pluvial risk, especially in urban areas with impermeable surfaces that can't absorb water)</t>
    </r>
  </si>
  <si>
    <r>
      <rPr>
        <b/>
        <sz val="11"/>
        <color rgb="FFFF0000"/>
        <rFont val="Calibri"/>
        <family val="2"/>
        <scheme val="minor"/>
      </rPr>
      <t>A</t>
    </r>
    <r>
      <rPr>
        <sz val="11"/>
        <color theme="1"/>
        <rFont val="Calibri"/>
        <family val="2"/>
        <scheme val="minor"/>
      </rPr>
      <t>ccelerated Warming - Canada's climate is warming twice as fast as the global rate.</t>
    </r>
  </si>
  <si>
    <r>
      <rPr>
        <b/>
        <sz val="11"/>
        <color rgb="FFFF0000"/>
        <rFont val="Calibri"/>
        <family val="2"/>
        <scheme val="minor"/>
      </rPr>
      <t>R</t>
    </r>
    <r>
      <rPr>
        <sz val="11"/>
        <color theme="1"/>
        <rFont val="Calibri"/>
        <family val="2"/>
        <scheme val="minor"/>
      </rPr>
      <t>ising Sea Levels - coastal flooding</t>
    </r>
  </si>
  <si>
    <t>I've given the complete answer below but you don't need to provide all of those details</t>
  </si>
  <si>
    <t>to receive full credit. You just need to identify the 2 major drivers and then 1 bullet point</t>
  </si>
  <si>
    <t>under each.</t>
  </si>
  <si>
    <t>Calculate the capital required for the earthquake component of insurance risk for the year:</t>
  </si>
  <si>
    <t>Method</t>
  </si>
  <si>
    <t>Standard Approach</t>
  </si>
  <si>
    <t>East Canada PML500</t>
  </si>
  <si>
    <t>West Canada PML500</t>
  </si>
  <si>
    <t>East Canada PTIV</t>
  </si>
  <si>
    <t>West Canada PTIV</t>
  </si>
  <si>
    <t>EPR (part of FinRes, next line)</t>
  </si>
  <si>
    <t>FinRes (Financial Resources)</t>
  </si>
  <si>
    <t>East Canada PML420</t>
  </si>
  <si>
    <t>West Canada PML420</t>
  </si>
  <si>
    <t>applicable deductible (assume the same for East &amp; West Canada)</t>
  </si>
  <si>
    <t>Notation</t>
  </si>
  <si>
    <t>ER</t>
  </si>
  <si>
    <t>Earthquake Reserves</t>
  </si>
  <si>
    <t>Earthquake Premium Reserves (voluntary accumulation of premium up to PML500)</t>
  </si>
  <si>
    <t>ERC</t>
  </si>
  <si>
    <t>Earthquake Reserve Component</t>
  </si>
  <si>
    <t>ERX</t>
  </si>
  <si>
    <t>Earthquake Risk Exposure (varies by method chosen)</t>
  </si>
  <si>
    <t>PTIV</t>
  </si>
  <si>
    <t>Property Total Insured Value</t>
  </si>
  <si>
    <t>FinRes</t>
  </si>
  <si>
    <t xml:space="preserve"> Calculate ERX for both the "Model Approach" and the "Standard Approach"</t>
  </si>
  <si>
    <t xml:space="preserve"> (Everything else is the same for both approaches.)</t>
  </si>
  <si>
    <t>Model Approach:</t>
  </si>
  <si>
    <t>( (East Canada PML500)^1.5 + (West Canada PML500)^1.5 ) ^ (1/1.5)</t>
  </si>
  <si>
    <t>( (East Canada PML500) ^ 1.5</t>
  </si>
  <si>
    <t>(West Canada PML500) ^ 1.5</t>
  </si>
  <si>
    <t>) ^ (1 / 1.5)</t>
  </si>
  <si>
    <t>^ 1.5</t>
  </si>
  <si>
    <t>Standard Approach:</t>
  </si>
  <si>
    <t>MAX (</t>
  </si>
  <si>
    <t>[East Canada PTIV]</t>
  </si>
  <si>
    <t>(applicable deductible)</t>
  </si>
  <si>
    <t>[West Canada PTIV]</t>
  </si>
  <si>
    <t xml:space="preserve"> Calculate ERC, using the appropriate value of ERX from Step 1</t>
  </si>
  <si>
    <t xml:space="preserve"> Calculate ER</t>
  </si>
  <si>
    <t>Discount Rate</t>
  </si>
  <si>
    <t>Marshall.Benefits</t>
  </si>
  <si>
    <t>Dutil.FA</t>
  </si>
  <si>
    <t>Govt.FloodSolutions</t>
  </si>
  <si>
    <t>CIA.IFRS17-DR</t>
  </si>
  <si>
    <t>CAS.GovtIns</t>
  </si>
  <si>
    <t>CCIR.Instructions</t>
  </si>
  <si>
    <t>IAA.Climate</t>
  </si>
  <si>
    <t>OSFI.MCT-IFRS</t>
  </si>
  <si>
    <t>Frei.RskTrans</t>
  </si>
  <si>
    <t>OSFI.MCT</t>
  </si>
  <si>
    <t>CIA.FCT-1</t>
  </si>
  <si>
    <t>CIA.Models, Odo.FinReg</t>
  </si>
  <si>
    <t>Land.Cases, Baer.Intro</t>
  </si>
  <si>
    <t>CIA.Subseq</t>
  </si>
  <si>
    <t>OSFI.AA</t>
  </si>
  <si>
    <t>CIA.Mat</t>
  </si>
  <si>
    <t>under OSFI's Climate Risk Management Guideline. The company has the following characteristics:</t>
  </si>
  <si>
    <t>Annual premiums: $500 million</t>
  </si>
  <si>
    <t>Geographic concentration: 70% of policyholders in coastal British Columbia</t>
  </si>
  <si>
    <t>Investment portfolio: 60% corporate bonds, 30% equities, 10% real estate</t>
  </si>
  <si>
    <t>Identify and explain two types of physical risks and two types of transition risks that this insurer</t>
  </si>
  <si>
    <t>should consider in its climate risk assessment.</t>
  </si>
  <si>
    <t>The company is developing its Climate Transition Plan. List three key elements that should be</t>
  </si>
  <si>
    <t>included in this plan according to OSFI's expectations.</t>
  </si>
  <si>
    <t>OSFI.Climate</t>
  </si>
  <si>
    <t>Physical risks: Acute (increased wildfire frequency in BC affecting mortality), Chronic (sea level rise affecting coastal real estate holdings)</t>
  </si>
  <si>
    <t>Transition risks: Policy changes (carbon pricing affecting corporate bond values), Market sentiment (stranded assets in high-carbon sectors)</t>
  </si>
  <si>
    <t>(C)</t>
  </si>
  <si>
    <t>Key elements: Assessment of achievability under different scenarios, metrics/targets for measuring progress, alignment with business strategy</t>
  </si>
  <si>
    <t>Identify two transmission channels through which this physical risk could impact the insurer's financial position.</t>
  </si>
  <si>
    <t xml:space="preserve">The insurer is analyzing a scenario where global temperatures increase by 3°C by 2050. </t>
  </si>
  <si>
    <t>Credit risk (collateral damage), Insurance risk (increased claims)</t>
  </si>
  <si>
    <t>A medium-sized Canadian P&amp;C insurance company is developing its approach to climate risk management</t>
  </si>
  <si>
    <t>Primary business: Personal Property and Personal Auto</t>
  </si>
  <si>
    <t>Portfolio Characteristics:</t>
  </si>
  <si>
    <t>Claims payments are expected to occur over the next 5 years</t>
  </si>
  <si>
    <t>The insurer has determined that the contracts have similar characteristics and generate cash flows with similar liquidity characteristics</t>
  </si>
  <si>
    <t>Market Data as at December 31, 2024:</t>
  </si>
  <si>
    <t>Maturity (years)</t>
  </si>
  <si>
    <t>Government Bond Yield</t>
  </si>
  <si>
    <t>Corporate Bond Yield (AA-rated)</t>
  </si>
  <si>
    <t>Market &amp; Credit Risk Adjustment</t>
  </si>
  <si>
    <t>Additional Information:</t>
  </si>
  <si>
    <t>The insurer has determined that a bottom-up approach is most appropriate</t>
  </si>
  <si>
    <t>Historical analysis shows that the illiquidity premium embedded in AA-rated corporate bonds is approximately 40% of the spread over government bonds</t>
  </si>
  <si>
    <t>Expected Claims Payment Pattern:</t>
  </si>
  <si>
    <t>Year</t>
  </si>
  <si>
    <t>Expected Claims Payments ($000s)</t>
  </si>
  <si>
    <t>a. Bottom-up Discount Rate Calculation:</t>
  </si>
  <si>
    <t>For each maturity, the discount rate = Government bond yield  + Illiquidity premium</t>
  </si>
  <si>
    <t>Iliquidity premium = 40% × (Corporate bond yield - Government bond yield)</t>
  </si>
  <si>
    <t>Gov't Yield</t>
  </si>
  <si>
    <t>Corp Yield</t>
  </si>
  <si>
    <t>Spread</t>
  </si>
  <si>
    <t>Iliquidity Premium</t>
  </si>
  <si>
    <t>The trick here is not to remove the  given credit and market risk adjustment as that would lead to it being removed twice</t>
  </si>
  <si>
    <r>
      <t>[0.25 points for calculating spread]</t>
    </r>
    <r>
      <rPr>
        <sz val="11"/>
        <color theme="1"/>
        <rFont val="Calibri"/>
        <family val="2"/>
        <scheme val="minor"/>
      </rPr>
      <t xml:space="preserve"> </t>
    </r>
    <r>
      <rPr>
        <b/>
        <sz val="11"/>
        <color theme="1"/>
        <rFont val="Calibri"/>
        <family val="2"/>
        <scheme val="minor"/>
      </rPr>
      <t>[0.25 points for calculating ILP][0.25 points for final discount rate]</t>
    </r>
  </si>
  <si>
    <t>b. Present Value Calculation:</t>
  </si>
  <si>
    <t>PV = Σ [Claims Payment / (1 + Discount Rate)^t]</t>
  </si>
  <si>
    <t>Claims ($000s)</t>
  </si>
  <si>
    <t>Discount Factor</t>
  </si>
  <si>
    <t>PV ($000s)</t>
  </si>
  <si>
    <t>Total PV</t>
  </si>
  <si>
    <r>
      <t>[0.25 points for discount factor]</t>
    </r>
    <r>
      <rPr>
        <sz val="11"/>
        <color theme="1"/>
        <rFont val="Calibri"/>
        <family val="2"/>
        <scheme val="minor"/>
      </rPr>
      <t xml:space="preserve"> </t>
    </r>
    <r>
      <rPr>
        <b/>
        <sz val="11"/>
        <color theme="1"/>
        <rFont val="Calibri"/>
        <family val="2"/>
        <scheme val="minor"/>
      </rPr>
      <t>[0.25 points for calculating PV]</t>
    </r>
  </si>
  <si>
    <t>c. Top-down Approach Adjustment:</t>
  </si>
  <si>
    <t>Disadvantage: No explicit derivation of illiquidity premium needed</t>
  </si>
  <si>
    <t>Advantage: Time consuming if discount rate needs to be updated freuqently</t>
  </si>
  <si>
    <t>The following information is available:</t>
  </si>
  <si>
    <t>A property and casualty insurer is determining the appropriate discount rates for its insurance contract liabilities under IFRS 17 as at December 31, 2024.</t>
  </si>
  <si>
    <t>Calculate the appropriate discount rate curve for the insurance contract liabilities using the bottom-up approach. Show the calculation for each maturity.</t>
  </si>
  <si>
    <t>Calculate the present value of the expected claims payments using the discount rates determined in part (a). Assume payments occur at the end of each year.</t>
  </si>
  <si>
    <t>If the insurer had instead used a top-down approach starting with the corporate bond yields, explain one advantage and disadvantage of this?</t>
  </si>
  <si>
    <t>An Ontario auto insurer is conducting its annual ORM Framework maintenance review.</t>
  </si>
  <si>
    <t xml:space="preserve">According to FSRA's guidance, framework maintenance consists of three components. </t>
  </si>
  <si>
    <t>and what immediate actions should be taken according to the monitoring and reporting requirements</t>
  </si>
  <si>
    <t>The insurer discovers it has been using incomplete data for rate calculations over the past six months.</t>
  </si>
  <si>
    <t xml:space="preserve">Using the ORM risk response options, explain which response(s) would be appropriate </t>
  </si>
  <si>
    <t>FSRA.RiskMgmt</t>
  </si>
  <si>
    <t>1. Training - ongoing education, role-specific</t>
  </si>
  <si>
    <t>2. Documentation - current, accurate, complete</t>
  </si>
  <si>
    <t>3. Periodic Reviews - monitor appropriateness</t>
  </si>
  <si>
    <t>Three compoenents:</t>
  </si>
  <si>
    <t>List two of these components and provide one specific requirement for each.</t>
  </si>
  <si>
    <t>Response: Reduce (fix immediately) and possibly Share (if systemic)</t>
  </si>
  <si>
    <t>Actions: Establish action plan, escalate to Senior Management, report to Board if material, document as operational risk event</t>
  </si>
  <si>
    <t>Gyokeres Insurance Company is implementing IFRS 17 and needs to calculate the risk adjustment for non-financial risk using the cost of capital approach for a portfolio of commercial property property contracts.</t>
  </si>
  <si>
    <t>The following information is available as at December 31, 2024:</t>
  </si>
  <si>
    <t>The company has a target ROE of 8% per annum</t>
  </si>
  <si>
    <t>The required capital is calculated as 99.5% Value-at-Risk (VaR) minus the best estimate liabilities</t>
  </si>
  <si>
    <t>Capital is assumed to be released proportionally as claims are paid</t>
  </si>
  <si>
    <t>The company's investment return on assets backing the capital is 3.5% per annum, before tax</t>
  </si>
  <si>
    <t>All cash flows occur at the end of each year</t>
  </si>
  <si>
    <t>The tax rate is 25%</t>
  </si>
  <si>
    <t>Best Estimate Claims Development Pattern:</t>
  </si>
  <si>
    <t>Development Year</t>
  </si>
  <si>
    <t>Best Estimate Unpaid Claims (in millions)</t>
  </si>
  <si>
    <t>Standard Deviation (in millions)</t>
  </si>
  <si>
    <t>0 (Dec 31, 2024)</t>
  </si>
  <si>
    <t>Discount Rates:</t>
  </si>
  <si>
    <t>Risk-free Rate</t>
  </si>
  <si>
    <t>The distribution of claims is assumed to be lognormal</t>
  </si>
  <si>
    <t>For a lognormal distribution with parameters μ and σ, the 99.5% VaR can be approximated as: exp(μ + 2.576σ)</t>
  </si>
  <si>
    <t>The coefficient of variation (CV) remains constant throughout the development period</t>
  </si>
  <si>
    <t>Diversification benefit: The entity-level capital requirement is 85% of the sum of standalone capital requirements</t>
  </si>
  <si>
    <t>a. Calculate the coefficient of variation [0.5 points]</t>
  </si>
  <si>
    <t>The coefficient of variation (CV) = Standard Deviation / Mean (Best Estimate)</t>
  </si>
  <si>
    <t>For each development year:</t>
  </si>
  <si>
    <t>Year 0</t>
  </si>
  <si>
    <t>Year 1</t>
  </si>
  <si>
    <t>Year 2</t>
  </si>
  <si>
    <t>Year 3</t>
  </si>
  <si>
    <t>Year 4</t>
  </si>
  <si>
    <t>CV is not constant. This makes sense because we expect there to be more volatility later in the life of the accident year (Small claims have already settled, leaving only the very large and complex claims outstanding)</t>
  </si>
  <si>
    <r>
      <t>[0.25 points for calculating CV for each year]</t>
    </r>
    <r>
      <rPr>
        <sz val="11"/>
        <color theme="1"/>
        <rFont val="Calibri"/>
        <family val="2"/>
        <scheme val="minor"/>
      </rPr>
      <t xml:space="preserve"> </t>
    </r>
    <r>
      <rPr>
        <b/>
        <sz val="11"/>
        <color theme="1"/>
        <rFont val="Calibri"/>
        <family val="2"/>
        <scheme val="minor"/>
      </rPr>
      <t>[0.25 points for identifying that CV is not constant][0.25 points for explaining why an increasing CoV makes sense]</t>
    </r>
  </si>
  <si>
    <t>b. Calculate required capital at each development year [1.0 point]</t>
  </si>
  <si>
    <t>For a lognormal distribution, we need to find the parameters μ and σ from the mean and standard deviation.</t>
  </si>
  <si>
    <t>For lognormal:</t>
  </si>
  <si>
    <t>Mean = exp(μ + σ²/2)</t>
  </si>
  <si>
    <t>Variance = exp(2μ + σ²)(exp(σ²) - 1)</t>
  </si>
  <si>
    <t>CV² = exp(σ²) - 1</t>
  </si>
  <si>
    <t>Therefore: σ² = ln(1 + CV²)</t>
  </si>
  <si>
    <t>Summary for all years:</t>
  </si>
  <si>
    <t>Best Estimate</t>
  </si>
  <si>
    <t>CV</t>
  </si>
  <si>
    <t>σ²</t>
  </si>
  <si>
    <t>μ</t>
  </si>
  <si>
    <t>99.5% VaR</t>
  </si>
  <si>
    <t>Required Capital</t>
  </si>
  <si>
    <r>
      <t>[0.5 points for deriving σ²]</t>
    </r>
    <r>
      <rPr>
        <sz val="11"/>
        <color theme="1"/>
        <rFont val="Calibri"/>
        <family val="2"/>
        <scheme val="minor"/>
      </rPr>
      <t xml:space="preserve"> </t>
    </r>
    <r>
      <rPr>
        <b/>
        <sz val="11"/>
        <color theme="1"/>
        <rFont val="Calibri"/>
        <family val="2"/>
        <scheme val="minor"/>
      </rPr>
      <t>[0.25 points for deriving μ][0.25 points for capital required]</t>
    </r>
  </si>
  <si>
    <t>c. Calculate after-tax cost of capital for each year [0.75 points]</t>
  </si>
  <si>
    <t>Cost of Capital Rate = (RoE)/ (1 - Tax rate) - Investment return</t>
  </si>
  <si>
    <t>For each year:</t>
  </si>
  <si>
    <t>ROE</t>
  </si>
  <si>
    <t>Investment return</t>
  </si>
  <si>
    <t>Tax rate</t>
  </si>
  <si>
    <t>cost of capital rate</t>
  </si>
  <si>
    <t>Cost of capital by year:</t>
  </si>
  <si>
    <t>Year 5</t>
  </si>
  <si>
    <r>
      <t>[0.5 points for correct cost of capital rate]</t>
    </r>
    <r>
      <rPr>
        <sz val="11"/>
        <color theme="1"/>
        <rFont val="Calibri"/>
        <family val="2"/>
        <scheme val="minor"/>
      </rPr>
      <t xml:space="preserve"> </t>
    </r>
    <r>
      <rPr>
        <b/>
        <sz val="11"/>
        <color theme="1"/>
        <rFont val="Calibri"/>
        <family val="2"/>
        <scheme val="minor"/>
      </rPr>
      <t>[0.25 points for cost of capital calculations for each year]</t>
    </r>
  </si>
  <si>
    <t>d. Calculate total risk adjustment [0.5 points]</t>
  </si>
  <si>
    <t>Present value of cost of capital:</t>
  </si>
  <si>
    <t>Using the given discount rates:</t>
  </si>
  <si>
    <t>Cost of Capital</t>
  </si>
  <si>
    <t>PV</t>
  </si>
  <si>
    <t>You should actually use the discount rate for the LIC when discounting capital but I'm lazy so let's just use risk free rates</t>
  </si>
  <si>
    <t>PV (before diversification) = 17.06 million</t>
  </si>
  <si>
    <t>After diversification benefit:</t>
  </si>
  <si>
    <t>Entity-level capital requirement = 85% of standalone</t>
  </si>
  <si>
    <t xml:space="preserve">Risk adjustment after diversification </t>
  </si>
  <si>
    <r>
      <t>[0.25 points for PV calculation]</t>
    </r>
    <r>
      <rPr>
        <sz val="11"/>
        <color theme="1"/>
        <rFont val="Calibri"/>
        <family val="2"/>
        <scheme val="minor"/>
      </rPr>
      <t xml:space="preserve"> </t>
    </r>
    <r>
      <rPr>
        <b/>
        <sz val="11"/>
        <color theme="1"/>
        <rFont val="Calibri"/>
        <family val="2"/>
        <scheme val="minor"/>
      </rPr>
      <t>[0.25 points for diversification adjustment]</t>
    </r>
  </si>
  <si>
    <t>Havertz National Insurance Company (HNIC) is evaluating the Premium Allocation Approach (PAA) eligibility for several new groups of insurance contracts as at January 1, 2025.</t>
  </si>
  <si>
    <t>HNIC has established the following PAA eligibility thresholds:</t>
  </si>
  <si>
    <t>1. Contract coverage period must be 12 months or less; OR</t>
  </si>
  <si>
    <t>3. The relative difference |PAA LRC - GMA LRC| / GMA LRC must be less than or equal to 5% of the group's annual revenue</t>
  </si>
  <si>
    <t>Discount Rate Information:</t>
  </si>
  <si>
    <t>HNIC uses a hybrid approach to determine discount rates:</t>
  </si>
  <si>
    <t xml:space="preserve">1 year: </t>
  </si>
  <si>
    <t>2 years:</t>
  </si>
  <si>
    <t>3 years:</t>
  </si>
  <si>
    <t>4 years:</t>
  </si>
  <si>
    <t>5 years:</t>
  </si>
  <si>
    <t xml:space="preserve">Average yield: </t>
  </si>
  <si>
    <t xml:space="preserve">Average duration: </t>
  </si>
  <si>
    <t>Credit spread:</t>
  </si>
  <si>
    <t xml:space="preserve">Expected credit losses: </t>
  </si>
  <si>
    <t xml:space="preserve">Investment expenses: </t>
  </si>
  <si>
    <t>Groups of Contracts Information:</t>
  </si>
  <si>
    <t>Group</t>
  </si>
  <si>
    <t>Line of Business</t>
  </si>
  <si>
    <t>Coverage Period</t>
  </si>
  <si>
    <t>Premium Pattern</t>
  </si>
  <si>
    <t>Claims Pattern</t>
  </si>
  <si>
    <t>Risk Profile</t>
  </si>
  <si>
    <t>Commercial Property</t>
  </si>
  <si>
    <t>18 months</t>
  </si>
  <si>
    <t>Level monthly</t>
  </si>
  <si>
    <t>40% year 1, 60% year 2</t>
  </si>
  <si>
    <t>High volatility</t>
  </si>
  <si>
    <t>Personal Auto</t>
  </si>
  <si>
    <t>12 months</t>
  </si>
  <si>
    <t>Upfront</t>
  </si>
  <si>
    <t>Monthly level (2 years)</t>
  </si>
  <si>
    <t>Medium volatility</t>
  </si>
  <si>
    <t>Professional Liability</t>
  </si>
  <si>
    <t>24 months</t>
  </si>
  <si>
    <t>60% upfront, 40% at month 12</t>
  </si>
  <si>
    <t>Increasing linear (10 years)</t>
  </si>
  <si>
    <t>Low frequency, high severity</t>
  </si>
  <si>
    <t>Cyber Insurance</t>
  </si>
  <si>
    <t>9 months</t>
  </si>
  <si>
    <t>Level quarterly</t>
  </si>
  <si>
    <t>Back-loaded (70% last year), 5 years</t>
  </si>
  <si>
    <t>Emerging risk</t>
  </si>
  <si>
    <t>Additional Information for FCF Calculation:</t>
  </si>
  <si>
    <t>Acquisition Cash Flows:</t>
  </si>
  <si>
    <t>Groups A &amp; C: 12% of annual revenue, paid upfront</t>
  </si>
  <si>
    <t>Groups B &amp; D: 8% of annual revenue, paid upfront</t>
  </si>
  <si>
    <t>Expected Loss Ratios (undiscounted):</t>
  </si>
  <si>
    <t>Group A:</t>
  </si>
  <si>
    <t>Group B:</t>
  </si>
  <si>
    <t>Group C:</t>
  </si>
  <si>
    <t>Group D:</t>
  </si>
  <si>
    <t>Operating Expenses:</t>
  </si>
  <si>
    <t>Risk Adjustment Parameters:</t>
  </si>
  <si>
    <t>Capital requirement based on 95% VaR</t>
  </si>
  <si>
    <t>Coefficient of variation for each group:</t>
  </si>
  <si>
    <t>Group A: 35% (high volatility)</t>
  </si>
  <si>
    <t>Group B: 20% (medium volatility)</t>
  </si>
  <si>
    <t>Group C: 45% (low frequency, high severity)</t>
  </si>
  <si>
    <t>Group D: 40% (emerging risk)</t>
  </si>
  <si>
    <t>For normal distribution: 95% VaR = Mean + 1.645 × Standard Deviation</t>
  </si>
  <si>
    <t>Risk adjustment is calculated as present value of cost of capital over the coverage period</t>
  </si>
  <si>
    <t>The risk adjustment for non-financial risk using the cost of capital approach</t>
  </si>
  <si>
    <t>The present value of fulfillment cash flows (FCF) under the General Measurement Approach</t>
  </si>
  <si>
    <t>The PAA LRC (excluding loss component)</t>
  </si>
  <si>
    <t>Coverage period</t>
  </si>
  <si>
    <t>Premium and claims patterns</t>
  </si>
  <si>
    <t>Risk characteristics</t>
  </si>
  <si>
    <t>The interaction between discount rates and cash flow timing</t>
  </si>
  <si>
    <t>The FCF calculation for the ARC</t>
  </si>
  <si>
    <t>PAA eligibility for both the gross and reinsurance held contracts</t>
  </si>
  <si>
    <t>a. Calculate Discount Rates Using Hybrid Approach [1.0 point]</t>
  </si>
  <si>
    <t>Step 1: Calculate the illiquidity premium from reference portfolio</t>
  </si>
  <si>
    <t>Illiquidity Premium</t>
  </si>
  <si>
    <t>Step 2: Apply illiquidity premium to risk-free curve</t>
  </si>
  <si>
    <t>Discount Rate for Insurance Liabilities</t>
  </si>
  <si>
    <t>The hybrid approach is suitable for HNIC because:</t>
  </si>
  <si>
    <t>It combines the objectivity of observable risk-free rates with market-based illiquidity premiums</t>
  </si>
  <si>
    <t>It reflects the illiquid nature of insurance liabilities while maintaining consistency</t>
  </si>
  <si>
    <t>It's practical for a company with diverse lines of business</t>
  </si>
  <si>
    <r>
      <t>[0.5 points for illiquidity premium calculation]</t>
    </r>
    <r>
      <rPr>
        <sz val="11"/>
        <color theme="1"/>
        <rFont val="Calibri"/>
        <family val="2"/>
        <scheme val="minor"/>
      </rPr>
      <t xml:space="preserve"> </t>
    </r>
    <r>
      <rPr>
        <b/>
        <sz val="11"/>
        <color theme="1"/>
        <rFont val="Calibri"/>
        <family val="2"/>
        <scheme val="minor"/>
      </rPr>
      <t>[0.25 points for final discount rates] [0.25 points for explanation (1)]</t>
    </r>
  </si>
  <si>
    <t>b. Group A (Commercial Property) Calculations [1.75 points]</t>
  </si>
  <si>
    <t>Given Information:</t>
  </si>
  <si>
    <t xml:space="preserve">Coverage period (months): </t>
  </si>
  <si>
    <t>Annual revenue:</t>
  </si>
  <si>
    <t>Total Revenue</t>
  </si>
  <si>
    <t>Premium pattern (monthly)</t>
  </si>
  <si>
    <t>Claims</t>
  </si>
  <si>
    <t>ELR</t>
  </si>
  <si>
    <t xml:space="preserve">Acquisition costs: </t>
  </si>
  <si>
    <t>Operating expenses: 2% of earned premium per month</t>
  </si>
  <si>
    <t xml:space="preserve">CV: </t>
  </si>
  <si>
    <t>Step 1: Calculate Risk Adjustment [0.5 points]</t>
  </si>
  <si>
    <t>Capital requirement calculation:</t>
  </si>
  <si>
    <t>Expected Claims:</t>
  </si>
  <si>
    <t>SD:</t>
  </si>
  <si>
    <t>95% VAR:</t>
  </si>
  <si>
    <t>Capital Required:</t>
  </si>
  <si>
    <t>Cost of capital over coverage period:</t>
  </si>
  <si>
    <t>Cost of Capital:</t>
  </si>
  <si>
    <t>Total</t>
  </si>
  <si>
    <t>RA</t>
  </si>
  <si>
    <t>Step 2: Calculate FCF under GMA [0.75 points]</t>
  </si>
  <si>
    <t>Months</t>
  </si>
  <si>
    <t>Premium</t>
  </si>
  <si>
    <t>Discounted Premium</t>
  </si>
  <si>
    <t>Operational Expenses</t>
  </si>
  <si>
    <t>Discounted Operational Expenses</t>
  </si>
  <si>
    <t>Claims outflows:</t>
  </si>
  <si>
    <t xml:space="preserve">Year </t>
  </si>
  <si>
    <t xml:space="preserve">PV </t>
  </si>
  <si>
    <t>FCF Calculation:</t>
  </si>
  <si>
    <t>-PV Premiums + PV claims + PV operating Expenses + Acquisition Costs + Risk Adjustment</t>
  </si>
  <si>
    <t>CSM:</t>
  </si>
  <si>
    <t xml:space="preserve">GMA LRC </t>
  </si>
  <si>
    <t>Step 3: Calculate PAA LRC [0.25 points]</t>
  </si>
  <si>
    <t>Unearned Premium at inception:</t>
  </si>
  <si>
    <r>
      <t>Deferred Acquisition Costs:</t>
    </r>
    <r>
      <rPr>
        <sz val="11"/>
        <color theme="1"/>
        <rFont val="Calibri"/>
        <family val="2"/>
        <scheme val="minor"/>
      </rPr>
      <t xml:space="preserve"> </t>
    </r>
  </si>
  <si>
    <t>PAA LRC:</t>
  </si>
  <si>
    <t>Step 4: Conclusion for group A [0.25 points]</t>
  </si>
  <si>
    <t>GMA LRC</t>
  </si>
  <si>
    <t>PAA LRC</t>
  </si>
  <si>
    <t>Difference:</t>
  </si>
  <si>
    <t>% Annual Revenue:</t>
  </si>
  <si>
    <t>% relative Difference</t>
  </si>
  <si>
    <t>c. Analysis of Groups B, C, and D [1.5 points]</t>
  </si>
  <si>
    <t>1. Group B (Personal Auto) - ELIGIBLE</t>
  </si>
  <si>
    <t>Coverage period = 12 months (automatically eligible under threshold 1)</t>
  </si>
  <si>
    <t>2. Group D (Cyber Insurance) - ELIGIBLE</t>
  </si>
  <si>
    <t>Coverage period = 9 months (automatically eligible under threshold 1)</t>
  </si>
  <si>
    <t>3. Group C (Professional Liability) - NOT ELIGIBLE</t>
  </si>
  <si>
    <t>Longest coverage period (24 months)</t>
  </si>
  <si>
    <t>Significant timing mismatch: 60% upfront premium vs. increasing claims pattern</t>
  </si>
  <si>
    <t>Highest CV (45%) leads to substantial risk adjustment</t>
  </si>
  <si>
    <t>Low frequency/high severity increases uncertainty over longer period</t>
  </si>
  <si>
    <t>Discount rate impact maximized due to 2-year duration</t>
  </si>
  <si>
    <t>Key factors affecting eligibility:</t>
  </si>
  <si>
    <r>
      <rPr>
        <b/>
        <sz val="11"/>
        <color theme="1"/>
        <rFont val="Calibri"/>
        <family val="2"/>
        <scheme val="minor"/>
      </rPr>
      <t>Coverage period:</t>
    </r>
    <r>
      <rPr>
        <sz val="11"/>
        <color theme="1"/>
        <rFont val="Calibri"/>
        <family val="2"/>
        <scheme val="minor"/>
      </rPr>
      <t xml:space="preserve"> Longer periods increase divergence between PAA and GMA</t>
    </r>
  </si>
  <si>
    <r>
      <rPr>
        <b/>
        <sz val="11"/>
        <color theme="1"/>
        <rFont val="Calibri"/>
        <family val="2"/>
        <scheme val="minor"/>
      </rPr>
      <t>Cash flow timing:</t>
    </r>
    <r>
      <rPr>
        <sz val="11"/>
        <color theme="1"/>
        <rFont val="Calibri"/>
        <family val="2"/>
        <scheme val="minor"/>
      </rPr>
      <t xml:space="preserve"> Mismatched patterns (front-loaded premiums, back-loaded claims) create larger differences</t>
    </r>
  </si>
  <si>
    <r>
      <rPr>
        <b/>
        <sz val="11"/>
        <color theme="1"/>
        <rFont val="Calibri"/>
        <family val="2"/>
        <scheme val="minor"/>
      </rPr>
      <t>Risk characteristics:</t>
    </r>
    <r>
      <rPr>
        <sz val="11"/>
        <color theme="1"/>
        <rFont val="Calibri"/>
        <family val="2"/>
        <scheme val="minor"/>
      </rPr>
      <t xml:space="preserve"> Higher volatility increases risk adjustment, widening the gap</t>
    </r>
  </si>
  <si>
    <r>
      <rPr>
        <b/>
        <sz val="11"/>
        <color theme="1"/>
        <rFont val="Calibri"/>
        <family val="2"/>
        <scheme val="minor"/>
      </rPr>
      <t>Discounting impact:</t>
    </r>
    <r>
      <rPr>
        <sz val="11"/>
        <color theme="1"/>
        <rFont val="Calibri"/>
        <family val="2"/>
        <scheme val="minor"/>
      </rPr>
      <t xml:space="preserve"> Longer duration amplifies present value differences</t>
    </r>
  </si>
  <si>
    <r>
      <t>[0.25 points for each group conclusion]</t>
    </r>
    <r>
      <rPr>
        <sz val="11"/>
        <color theme="1"/>
        <rFont val="Calibri"/>
        <family val="2"/>
        <scheme val="minor"/>
      </rPr>
      <t xml:space="preserve"> </t>
    </r>
    <r>
      <rPr>
        <b/>
        <sz val="11"/>
        <color theme="1"/>
        <rFont val="Calibri"/>
        <family val="2"/>
        <scheme val="minor"/>
      </rPr>
      <t>[0.25 points for justification]</t>
    </r>
  </si>
  <si>
    <t>d. Reinsurance Impact on Group C [1 point]</t>
  </si>
  <si>
    <t>Impact of 40% Quota Share Treaty (Losses Occurring Basis):</t>
  </si>
  <si>
    <t>On FCF Calculation for ARC:</t>
  </si>
  <si>
    <t>Premium ceded: 40% × premium inflows</t>
  </si>
  <si>
    <t>Claims recovered: 40% × claims outflows</t>
  </si>
  <si>
    <t>Risk adjustment: Reduced proportionally as risk transferred</t>
  </si>
  <si>
    <t>Capital requirement: 40% of gross requirement. Assume that the amount of capital freed up with reinsurance is proportional to gross capital</t>
  </si>
  <si>
    <t>Risk adjustment: 40% of gross risk adjustment</t>
  </si>
  <si>
    <t>PAA Eligibility - Gross Contract:</t>
  </si>
  <si>
    <t>Remains unchanged as PAA eligibility is assessed on gross basis</t>
  </si>
  <si>
    <t>Original eligibility determination stands</t>
  </si>
  <si>
    <t>PAA Eligibility - Reinsurance Held Contract:</t>
  </si>
  <si>
    <t>Coverage period: 12 months (losses occurring basis)</t>
  </si>
  <si>
    <t>Automatically eligible for PAA due to 12-month coverage</t>
  </si>
  <si>
    <t>Simpler than risk-attaching basis which would extend beyond 12 months</t>
  </si>
  <si>
    <r>
      <t>Key Consideration:</t>
    </r>
    <r>
      <rPr>
        <sz val="11"/>
        <color theme="1"/>
        <rFont val="Calibri"/>
        <family val="2"/>
        <scheme val="minor"/>
      </rPr>
      <t xml:space="preserve"> The reinsurance contract and gross contract can use different measurement models (PAA for reinsurance, GMA for gross) without issue.</t>
    </r>
  </si>
  <si>
    <r>
      <t>[0.5 points for ARC explanation]</t>
    </r>
    <r>
      <rPr>
        <sz val="11"/>
        <color theme="1"/>
        <rFont val="Calibri"/>
        <family val="2"/>
        <scheme val="minor"/>
      </rPr>
      <t xml:space="preserve"> </t>
    </r>
    <r>
      <rPr>
        <b/>
        <sz val="11"/>
        <color theme="1"/>
        <rFont val="Calibri"/>
        <family val="2"/>
        <scheme val="minor"/>
      </rPr>
      <t>[0.25 points for eligibility assessment on a gross basis][0.25 points for eligibility assessment of ARC]</t>
    </r>
  </si>
  <si>
    <t>e. Regulatory Impact on Group D [0.5 points]</t>
  </si>
  <si>
    <t>Impact of Mandatory Ransomware Coverage:</t>
  </si>
  <si>
    <t>Immediate Effects:</t>
  </si>
  <si>
    <t>CV increases from 40% to 80% (doubled volatility)</t>
  </si>
  <si>
    <t>Risk adjustment approximately doubles</t>
  </si>
  <si>
    <t>Capital requirement increases significantly</t>
  </si>
  <si>
    <t>Larger gap between GMA (with higher risk adjustment) and PAA</t>
  </si>
  <si>
    <t>PAA Eligibility Reassessment Required:</t>
  </si>
  <si>
    <r>
      <rPr>
        <b/>
        <sz val="11"/>
        <color theme="1"/>
        <rFont val="Calibri"/>
        <family val="2"/>
        <scheme val="minor"/>
      </rPr>
      <t>1. Quantitative impact:</t>
    </r>
    <r>
      <rPr>
        <sz val="11"/>
        <color theme="1"/>
        <rFont val="Calibri"/>
        <family val="2"/>
        <scheme val="minor"/>
      </rPr>
      <t xml:space="preserve"> Higher risk adjustment in GMA increases difference vs. PAA for new 1.5 year contracts</t>
    </r>
  </si>
  <si>
    <r>
      <rPr>
        <b/>
        <sz val="11"/>
        <color theme="1"/>
        <rFont val="Calibri"/>
        <family val="2"/>
        <scheme val="minor"/>
      </rPr>
      <t>2. Threshold breach likely</t>
    </r>
    <r>
      <rPr>
        <sz val="11"/>
        <color theme="1"/>
        <rFont val="Calibri"/>
        <family val="2"/>
        <scheme val="minor"/>
      </rPr>
      <t>: Doubled volatility may push difference beyond 3% revenue threshold or 5% absolute relative threshold</t>
    </r>
  </si>
  <si>
    <r>
      <rPr>
        <b/>
        <sz val="11"/>
        <color theme="1"/>
        <rFont val="Calibri"/>
        <family val="2"/>
        <scheme val="minor"/>
      </rPr>
      <t>3. Ongoing monitoring</t>
    </r>
    <r>
      <rPr>
        <sz val="11"/>
        <color theme="1"/>
        <rFont val="Calibri"/>
        <family val="2"/>
        <scheme val="minor"/>
      </rPr>
      <t>: Need to track actual vs. expected experience. If unable to increase premiums contracts may become onerous which necessitates FCF calculation</t>
    </r>
  </si>
  <si>
    <t>Additional Considerations for HNIC:</t>
  </si>
  <si>
    <r>
      <t>Data limitations</t>
    </r>
    <r>
      <rPr>
        <sz val="11"/>
        <color theme="1"/>
        <rFont val="Calibri"/>
        <family val="2"/>
        <scheme val="minor"/>
      </rPr>
      <t>: Limited historical data for ransomware claims</t>
    </r>
  </si>
  <si>
    <r>
      <t>Pricing adequacy</t>
    </r>
    <r>
      <rPr>
        <sz val="11"/>
        <color theme="1"/>
        <rFont val="Calibri"/>
        <family val="2"/>
        <scheme val="minor"/>
      </rPr>
      <t>: Ensure premiums reflect new risk profile</t>
    </r>
  </si>
  <si>
    <r>
      <t>Reinsurance needs</t>
    </r>
    <r>
      <rPr>
        <sz val="11"/>
        <color theme="1"/>
        <rFont val="Calibri"/>
        <family val="2"/>
        <scheme val="minor"/>
      </rPr>
      <t>: Consider purchasing excess-of-loss coverage</t>
    </r>
  </si>
  <si>
    <r>
      <t>Model uncertainty</t>
    </r>
    <r>
      <rPr>
        <sz val="11"/>
        <color theme="1"/>
        <rFont val="Calibri"/>
        <family val="2"/>
        <scheme val="minor"/>
      </rPr>
      <t>: Higher parameter uncertainty may favor GMA for better risk reflection</t>
    </r>
  </si>
  <si>
    <r>
      <t>Future reassessment</t>
    </r>
    <r>
      <rPr>
        <sz val="11"/>
        <color theme="1"/>
        <rFont val="Calibri"/>
        <family val="2"/>
        <scheme val="minor"/>
      </rPr>
      <t>: PAA eligibility should be reviewed annually as experience emerges</t>
    </r>
  </si>
  <si>
    <r>
      <t>[0.5 points for immediate impacts] [0.25 points for PAA Eligbility reassessment]</t>
    </r>
    <r>
      <rPr>
        <sz val="11"/>
        <color theme="1"/>
        <rFont val="Calibri"/>
        <family val="2"/>
        <scheme val="minor"/>
      </rPr>
      <t xml:space="preserve"> </t>
    </r>
    <r>
      <rPr>
        <b/>
        <sz val="11"/>
        <color theme="1"/>
        <rFont val="Calibri"/>
        <family val="2"/>
        <scheme val="minor"/>
      </rPr>
      <t>[0.5 points for additional considerations]</t>
    </r>
  </si>
  <si>
    <t>CIA.IFRS17 - LRC, CIA.IFRRS17-2, CIA-IFRS17 - PAA</t>
  </si>
  <si>
    <t>CIA.IFRS17-2</t>
  </si>
  <si>
    <t>CIA.Territories</t>
  </si>
  <si>
    <t>Exam 6C - Practice - Version A - Fall 2025</t>
  </si>
  <si>
    <t>Territory</t>
  </si>
  <si>
    <t>Number of FSAs</t>
  </si>
  <si>
    <t>Annual Exposure</t>
  </si>
  <si>
    <t>Claims Count</t>
  </si>
  <si>
    <t>Average Relativity</t>
  </si>
  <si>
    <t>Urban Core</t>
  </si>
  <si>
    <t>Suburban</t>
  </si>
  <si>
    <t>Rural</t>
  </si>
  <si>
    <t>1. Build non-territory model - Challenge: variable selection</t>
  </si>
  <si>
    <t>2. Calculate residuals - Challenge: building block credibility</t>
  </si>
  <si>
    <t>3. Model residuals - Challenge: balancing judgment with data</t>
  </si>
  <si>
    <t>4. Finalize boundaries - Challenge: incorporating business input</t>
  </si>
  <si>
    <t>Describe the four-step standard territory modelling approach.</t>
  </si>
  <si>
    <t>For each step, explain what is accomplished and identify one key challenge or consideration.</t>
  </si>
  <si>
    <t>The insurer's current territories have the following characteristics:</t>
  </si>
  <si>
    <t>An insurer is implementing the technical modelling process to define</t>
  </si>
  <si>
    <t xml:space="preserve"> new territory boundaries for its property insurance portfolio.</t>
  </si>
  <si>
    <t>subdivided further or if FSAs should be regrouped. Explain your reasoning.</t>
  </si>
  <si>
    <t>Based on credibility considerations, evaluate whether the Rural territory should be</t>
  </si>
  <si>
    <t xml:space="preserve">The insurer has been using the same territory definitions for 6 years. </t>
  </si>
  <si>
    <t>List four specific factors that would trigger a review of the existing territory boundaries.</t>
  </si>
  <si>
    <t>Rural territory has lowest credibility (12,000 exposure, 96 claims). Should not subdivide further - would worsen credibility.</t>
  </si>
  <si>
    <t>Population changes, portfolio shifts, risk profile evolution, regulatory changes</t>
  </si>
  <si>
    <t>risk adjustments to properly calculate the fulfillment cash flows (FCF) for comparison with the PAA liability for remaining coverage (LRC).</t>
  </si>
  <si>
    <t xml:space="preserve">The Chief Actuary has requested a comprehensive analysis including the determination of appropriate discount rates and </t>
  </si>
  <si>
    <t>Risk-free rates (Government of Canada bonds):</t>
  </si>
  <si>
    <t>Reference portfolio characteristics:</t>
  </si>
  <si>
    <t>Calculate the appropriate discount rates for insurance contract liabilities using the hybrid approach. Show the derivation of the illiquidity premium and explain why this approach is suitable for HNIC.</t>
  </si>
  <si>
    <t>For Group A (Commercial Property), calculate:</t>
  </si>
  <si>
    <t>Without performing detailed calculations, analyze Groups B, C, and D to determine which would most likely fail PAA eligibility testing. Consider the impact of:</t>
  </si>
  <si>
    <t>HNIC is considering reinsurance for Group C (Professional Liability). Explain how a quota share reinsurance treaty (ceding 40% on a losses occurring basis) would impact:</t>
  </si>
  <si>
    <t>Discuss how this would impact Group D's PAA eligibility assessment , the immediate impact and what additional considerations HNIC should evaluate, assuming HNIC would like to offer 1.5 year contracts.</t>
  </si>
  <si>
    <t>All groups: 2% of earned premium per month, incurred at the end of the month</t>
  </si>
  <si>
    <t>Recent regulatory changes require cyber insurance policies to include mandatory coverage for ransomware attacks, potentially doubling the expected volatility.</t>
  </si>
  <si>
    <t>Annual Revenue ($M)</t>
  </si>
  <si>
    <t>2. The absolute dollar difference between the PAA LRC (excluding loss component) and the General Measurement Approach (GMA) LRC must be less than or equal to 3% of HNIC's total annual insurance revenue; OR</t>
  </si>
  <si>
    <t>GMA LRC at time 0 is always 0 before the first premium is received. But we are assuming the first premium has already been received here</t>
  </si>
  <si>
    <t>Ceding commission received: Typically offsets acquisition cost, but with a minimum and maximum ceded commission (assume 12%)</t>
  </si>
  <si>
    <t>Calculate the coefficient of variation for the portfolio and verify whether the coefficient is constant. Explain the pattern that is seen.</t>
  </si>
  <si>
    <t>Calculate the after-tax cost of capital for each year.</t>
  </si>
  <si>
    <t>Calculate the required capital at each development year using the 99.5% VaR approach.</t>
  </si>
  <si>
    <t>Calculate the total risk adjustment for non-financial risk using the cost of capital approach, both before and after considering the diversification benefit.</t>
  </si>
  <si>
    <t>60.45</t>
  </si>
  <si>
    <t>Amount: excess or (deficiency) (page 60.55, line 599, column 10)</t>
  </si>
  <si>
    <t>MSA.Legend</t>
  </si>
  <si>
    <t>i. Gross Insurance Service Ratio (GISR)</t>
  </si>
  <si>
    <t>ii. Net Insurance Service Ratio (NISR)</t>
  </si>
  <si>
    <t>c. (1.0 point) The company is evaluating its reinsurance program effectiveness.</t>
  </si>
  <si>
    <t>i. Calculate the Reinsurance Impact Ratio (RIR)</t>
  </si>
  <si>
    <t>ii. Explain what this ratio indicates about the company's reinsurance strategy</t>
  </si>
  <si>
    <t>ii. This ratio indicates the net cost of reinsurance as a percentage of gross revenue. A 4.1% RIR suggests the company is paying a moderate price for risk transfer, which appears reasonable given the significant recoveries ($145M) relative to the net cost.</t>
  </si>
  <si>
    <t>Coverage level: 80%</t>
  </si>
  <si>
    <t>i. Provide the statistical definition of self-sustainability for agricultural insurance programs.</t>
  </si>
  <si>
    <t>ii. Identify three types of adverse scenarios that should be considered in the 25-year stochastic simulation.</t>
  </si>
  <si>
    <t>i. List all five load factors.</t>
  </si>
  <si>
    <t>ii. Briefly explain the purpose of the "balance-back factor."</t>
  </si>
  <si>
    <r>
      <t>a.</t>
    </r>
    <r>
      <rPr>
        <sz val="11"/>
        <color theme="1"/>
        <rFont val="Calibri"/>
        <family val="2"/>
        <scheme val="minor"/>
      </rPr>
      <t xml:space="preserve"> The six BRM programs are:</t>
    </r>
  </si>
  <si>
    <t>1. AgriInsurance (Agricultural Insurance)</t>
  </si>
  <si>
    <t>2. AgriStability</t>
  </si>
  <si>
    <t>3. AgriInvest</t>
  </si>
  <si>
    <t>4. AgriRecovery</t>
  </si>
  <si>
    <t>5. Advance Payments Program</t>
  </si>
  <si>
    <t>6. Western Livestock Price Insurance Program (WLPIP)</t>
  </si>
  <si>
    <r>
      <t>b.</t>
    </r>
    <r>
      <rPr>
        <sz val="11"/>
        <color theme="1"/>
        <rFont val="Calibri"/>
        <family val="2"/>
        <scheme val="minor"/>
      </rPr>
      <t xml:space="preserve"> Calculation:</t>
    </r>
  </si>
  <si>
    <r>
      <t>c.</t>
    </r>
    <r>
      <rPr>
        <sz val="11"/>
        <color theme="1"/>
        <rFont val="Calibri"/>
        <family val="2"/>
        <scheme val="minor"/>
      </rPr>
      <t xml:space="preserve"> i. Statistical definition: For all (base, adverse) scenarios with initial deficit at 6th year, 95th percentile: must recover deficit in 15 years on average AND 25 years with 80% probability.</t>
    </r>
  </si>
  <si>
    <t>ii. Three adverse scenarios (any three of):</t>
  </si>
  <si>
    <t>Adverse claims experience</t>
  </si>
  <si>
    <t>Changes in participation rates</t>
  </si>
  <si>
    <t>Changes in coverage levels</t>
  </si>
  <si>
    <t>Catastrophic events</t>
  </si>
  <si>
    <t>Systematic yield declines</t>
  </si>
  <si>
    <t>Economic conditions affecting agriculture</t>
  </si>
  <si>
    <r>
      <t>d.</t>
    </r>
    <r>
      <rPr>
        <sz val="11"/>
        <color theme="1"/>
        <rFont val="Calibri"/>
        <family val="2"/>
        <scheme val="minor"/>
      </rPr>
      <t xml:space="preserve"> Differences:</t>
    </r>
  </si>
  <si>
    <t>Yield-based plans: Indemnity based on actual yield vs. insured yield; liability calculated as PG × insured price Example: Individual or collective yield insurance</t>
  </si>
  <si>
    <t>Non-yield-based plans: Coverage triggers NOT based on yield; liability calculated as number of insured units × insured price Example: Weather derivative plans (triggered by meteorological thresholds regardless of actual yield)</t>
  </si>
  <si>
    <r>
      <t>e.</t>
    </r>
    <r>
      <rPr>
        <sz val="11"/>
        <color theme="1"/>
        <rFont val="Calibri"/>
        <family val="2"/>
        <scheme val="minor"/>
      </rPr>
      <t xml:space="preserve"> i. Five load factors (in order):</t>
    </r>
  </si>
  <si>
    <t>Uncertainty load</t>
  </si>
  <si>
    <t>Balance-back factor</t>
  </si>
  <si>
    <t>Individual discount/surcharge</t>
  </si>
  <si>
    <t>Reinsurance load</t>
  </si>
  <si>
    <t>Self-sustainability load</t>
  </si>
  <si>
    <t>Chev.Agric</t>
  </si>
  <si>
    <t>OSFI.Concentration</t>
  </si>
  <si>
    <t>An insurance company reports the following financial information under IFRS 17 for the current quarter:</t>
  </si>
  <si>
    <t>Insurance Service Expense:</t>
  </si>
  <si>
    <t>Total Insurance Revenue:</t>
  </si>
  <si>
    <t>General &amp; Operating Expenses:</t>
  </si>
  <si>
    <t>Allocation of Reinsurance Premiums:</t>
  </si>
  <si>
    <t>Amounts Recoverable from Reinsurers:</t>
  </si>
  <si>
    <t>Net Expenses from Reinsurance Contracts Held:</t>
  </si>
  <si>
    <t>Amortization of Insurance Acquisition Cash Flows:</t>
  </si>
  <si>
    <t>Amortization of Reinsurance Acquisition Cash Flows:</t>
  </si>
  <si>
    <t>Net Finance Income from Insurance Contracts:</t>
  </si>
  <si>
    <t>Net Finance Income from Reinsurance Contracts Held:</t>
  </si>
  <si>
    <t>Effect of Changes in Non-Performance Risk of Reinsurers:</t>
  </si>
  <si>
    <t>All numbers in ($000s)</t>
  </si>
  <si>
    <t>Calculate the following ratios:</t>
  </si>
  <si>
    <t>Show your work and explain the key difference between these two metrics.</t>
  </si>
  <si>
    <t>Calculate both the Net Combined Ratio (Partially Discounted) and the Net Combined Ratio (Fully Discounted).</t>
  </si>
  <si>
    <t>i. GISR</t>
  </si>
  <si>
    <t>ii. NISR</t>
  </si>
  <si>
    <t>a.</t>
  </si>
  <si>
    <t>Net Combined Ratio Partially Discounted</t>
  </si>
  <si>
    <t>Net Combined Ratio Fully Discounted</t>
  </si>
  <si>
    <t>b.</t>
  </si>
  <si>
    <t>The fully discounted version accounts for the time value of money by including net finance income from insurance and reinsurance contracts, providing a more complete economic view of profitability.</t>
  </si>
  <si>
    <t>c.</t>
  </si>
  <si>
    <t>i. RIR</t>
  </si>
  <si>
    <t>The farmer has the following infomration:</t>
  </si>
  <si>
    <t>A wheat farmer in Saskatchewan participates in the Agricultural Insurance (AgriInsurance) program under the Growing Forward 2 (GF2) framework.</t>
  </si>
  <si>
    <t>Insured area (acres): 200 acres</t>
  </si>
  <si>
    <t xml:space="preserve">Probable yield (kg/acre): </t>
  </si>
  <si>
    <t>Insured unit price/kg:</t>
  </si>
  <si>
    <t>Actual production for current year (kg):</t>
  </si>
  <si>
    <t>Calculate the indemnity payment (if any) that the farmer will receive. Show your work.</t>
  </si>
  <si>
    <t xml:space="preserve"> Explain two differences between yield-based and non-yield-based agricultural insurance plans, providing a specific example of each type of plan.</t>
  </si>
  <si>
    <t>The provincial insurance corporation is conducting a self-sustainability test for the agricultural insurance program.</t>
  </si>
  <si>
    <t>List the six Business Risk Management (BRM) programs under GF2.</t>
  </si>
  <si>
    <t>Production Guarantee:</t>
  </si>
  <si>
    <t>Indemnity:</t>
  </si>
  <si>
    <t>When calculating the premium rate from the indemnity rate, five load factors must be considered.</t>
  </si>
  <si>
    <t>The company is NOT widely held and is NOT a regulated financial institution</t>
  </si>
  <si>
    <t>Currently writing a large commercial property policy with the following structure:</t>
  </si>
  <si>
    <t>i. Calculate the Largest Net Counterparty Unregistered Reinsurance Exposure for the commercial property policy after considering eligible Counterparty Risk Mitigation (CRM) techniques.</t>
  </si>
  <si>
    <t>ii. List the eligible CRM techniques mentioned in the guideline.</t>
  </si>
  <si>
    <t>1. Define what constitutes a Single Insurance Exposure by class of insurance (potentially aggregating across multiple coverages/classes)</t>
  </si>
  <si>
    <t>2. Establish limits by class of insurance for the level of gross insurance risk acceptable for maximum loss on a Single Insurance Exposure</t>
  </si>
  <si>
    <t>3. Be reviewed by Senior Management at minimum annually</t>
  </si>
  <si>
    <t>OSFI requires FRIs to develop their own criteria because:</t>
  </si>
  <si>
    <t>Different insurers have different risk profiles, business models, and expertise</t>
  </si>
  <si>
    <t>Allows for proportionality based on nature, scale, and complexity of business</t>
  </si>
  <si>
    <t>Promotes ownership of risk management by the insurer</t>
  </si>
  <si>
    <t>Recognizes that one-size-fits-all approach may not be appropriate for diverse P&amp;C market</t>
  </si>
  <si>
    <t>Potential OSFI corrective measures:</t>
  </si>
  <si>
    <t>Heightened supervisory activity</t>
  </si>
  <si>
    <t>Discretionary adjustment to capital requirements commensurate with risks</t>
  </si>
  <si>
    <t>Requirement to divest excess holdings</t>
  </si>
  <si>
    <t>Restrictions on new investments until compliance achieved</t>
  </si>
  <si>
    <t>ii. Eligible CRM techniques:</t>
  </si>
  <si>
    <t>Excess collateral</t>
  </si>
  <si>
    <t>Letters of credit (limited to 30% of insurance exposure value)</t>
  </si>
  <si>
    <t>Other CRM techniques deemed acceptable by OSFI</t>
  </si>
  <si>
    <t>Consideration: Aggregated insurance exposures on in-force policies at a single location, including any exposures subject to the location</t>
  </si>
  <si>
    <t>Effect: Must consider all coverages at one location (building, contents, business interruption) as a single exposure, preventing underestimation of concentration risk</t>
  </si>
  <si>
    <t>Consideration: Aggregated insurance exposures on in-force policies to any one single buyer or group of connected buyers</t>
  </si>
  <si>
    <t>Effect: Must aggregate exposures across related entities to capture full economic exposure to a single credit event</t>
  </si>
  <si>
    <t>Alternative acceptable answers: Surety (single contractor/connected contractors) or Title (legal title for single location)</t>
  </si>
  <si>
    <r>
      <t>b.</t>
    </r>
    <r>
      <rPr>
        <sz val="11"/>
        <color theme="1"/>
        <rFont val="Calibri"/>
        <family val="2"/>
        <scheme val="minor"/>
      </rPr>
      <t xml:space="preserve"> Three GUWP requirements:</t>
    </r>
  </si>
  <si>
    <r>
      <t>c.</t>
    </r>
    <r>
      <rPr>
        <sz val="11"/>
        <color theme="1"/>
        <rFont val="Calibri"/>
        <family val="2"/>
        <scheme val="minor"/>
      </rPr>
      <t xml:space="preserve"> Investment concentration calculation:</t>
    </r>
  </si>
  <si>
    <r>
      <t>e.</t>
    </r>
    <r>
      <rPr>
        <sz val="11"/>
        <color theme="1"/>
        <rFont val="Calibri"/>
        <family val="2"/>
        <scheme val="minor"/>
      </rPr>
      <t xml:space="preserve"> Two classes with specific considerations:</t>
    </r>
  </si>
  <si>
    <r>
      <t>1. Property Insurance</t>
    </r>
    <r>
      <rPr>
        <sz val="11"/>
        <color theme="1"/>
        <rFont val="Calibri"/>
        <family val="2"/>
        <scheme val="minor"/>
      </rPr>
      <t>:</t>
    </r>
  </si>
  <si>
    <r>
      <t>2. Credit Insurance</t>
    </r>
    <r>
      <rPr>
        <sz val="11"/>
        <color theme="1"/>
        <rFont val="Calibri"/>
        <family val="2"/>
        <scheme val="minor"/>
      </rPr>
      <t>:</t>
    </r>
  </si>
  <si>
    <t>MCT Capital Available</t>
  </si>
  <si>
    <t>Balance Sheet Assets</t>
  </si>
  <si>
    <t>MPL:</t>
  </si>
  <si>
    <t>Proposed Net Retention:</t>
  </si>
  <si>
    <t>Unregistered reinsurance coverage from Myles Re (largest unreg reinsurer):</t>
  </si>
  <si>
    <t>Myles Re XS collateral</t>
  </si>
  <si>
    <t>Myles Re LoC</t>
  </si>
  <si>
    <t>Investment Portfolio:</t>
  </si>
  <si>
    <t>Investment in Nvidia common shares:</t>
  </si>
  <si>
    <t>Based on your calculation, determine if the proposed commercial property policy structure is compliant with the guideline.</t>
  </si>
  <si>
    <t>Rice Insurance Company (RICE), a federally regulated P&amp;C insurer in Canada, has the following characteristics (all numers in $millions):</t>
  </si>
  <si>
    <t>Explain why OSFI requires P&amp;C FRIs to develop their own criteria for determining maximum loss on a Single Insurance Exposure.</t>
  </si>
  <si>
    <t>If non-compliant, what corrective measures might OSFI require?</t>
  </si>
  <si>
    <t>Calculate whether RICE's investment concentration in Nvidia Corporation is compliant with Guideline B-2.</t>
  </si>
  <si>
    <t>Investment in Nvidia Corporation bonds:</t>
  </si>
  <si>
    <t>The guideline distinguishes between registered and unregistered reinsurance.</t>
  </si>
  <si>
    <t xml:space="preserve">Guideline B-2 provides specific considerations for determining Single Insurance Exposures for different classes of insurance. </t>
  </si>
  <si>
    <t>Identify the considerations for two classes of insurance and explain how these would affect the measurement of maximum loss for each class.</t>
  </si>
  <si>
    <t>Maximum allowable exposure calculation:</t>
  </si>
  <si>
    <t>Total Exposure</t>
  </si>
  <si>
    <r>
      <t xml:space="preserve">Total exposure exceeds 112.5 limit, </t>
    </r>
    <r>
      <rPr>
        <b/>
        <sz val="11"/>
        <color rgb="FFFF0000"/>
        <rFont val="Calibri"/>
        <family val="2"/>
      </rPr>
      <t>not compliant</t>
    </r>
  </si>
  <si>
    <t>RICE's Gross Underwriting Limit Policy (GUWP) must address several key elements. List two specific requirements that the GUWP should include.</t>
  </si>
  <si>
    <t>Limit :</t>
  </si>
  <si>
    <t>Total investment in Nvidia:</t>
  </si>
  <si>
    <r>
      <t>Greater than limit so</t>
    </r>
    <r>
      <rPr>
        <b/>
        <sz val="11"/>
        <color rgb="FFFF0000"/>
        <rFont val="Calibri"/>
        <family val="2"/>
      </rPr>
      <t xml:space="preserve"> not compliant </t>
    </r>
  </si>
  <si>
    <r>
      <t>d.</t>
    </r>
    <r>
      <rPr>
        <sz val="11"/>
        <color theme="1"/>
        <rFont val="Calibri"/>
        <family val="2"/>
        <scheme val="minor"/>
      </rPr>
      <t xml:space="preserve"> </t>
    </r>
  </si>
  <si>
    <t>i. Largest Net Counterparty Unregistered Reinsurance Exposure (after CRM):</t>
  </si>
  <si>
    <t>Calculate the maximum allowable exposure limit for RICE on a single insurance exposure before any CRM techniques.</t>
  </si>
  <si>
    <t>Show all calculations including the timing of cash flows. Assume that the first premium payment is received at the beginning of the month.</t>
  </si>
  <si>
    <t>ii. Balance-back factor: Adjsts premiums to ensure the overall premium collected matches the target premium level for the insurance pool, accounting for individual discounts and surcharges applied based on experience.</t>
  </si>
  <si>
    <t>HNIC uses the cost of capital approach with a a target ROE of 6% with a tax rate of 25%</t>
  </si>
  <si>
    <t>Assume that the risk adjustment is released as premiums are earned (level monthly for 18 months)</t>
  </si>
  <si>
    <t>Time(Months)</t>
  </si>
  <si>
    <t xml:space="preserve">Capital no longer needs to be held for the LRC once all premium has been earned, despite there being claims outstanding. </t>
  </si>
  <si>
    <t>Cost of capital is an annual number, and if capital is being released every month that means the cost of capital rate needs to be divided by 12 to account for this.</t>
  </si>
  <si>
    <t>The remaining capital is on the LIC.</t>
  </si>
  <si>
    <t>Group A is NOT eligible for PAA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</si>
</sst>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
  </numFmts>
  <fonts count="49" x14ac:knownFonts="1">
    <font>
      <sz val="11"/>
      <color theme="1"/>
      <name val="Calibri"/>
      <family val="2"/>
      <scheme val="minor"/>
    </font>
    <font>
      <sz val="11"/>
      <color theme="1"/>
      <name val="Calibri"/>
      <family val="2"/>
      <scheme val="minor"/>
    </font>
    <font>
      <b/>
      <sz val="11"/>
      <color theme="1"/>
      <name val="Calibri"/>
      <family val="2"/>
      <scheme val="minor"/>
    </font>
    <font>
      <b/>
      <u/>
      <sz val="12"/>
      <color theme="1"/>
      <name val="Calibri"/>
      <family val="2"/>
      <scheme val="minor"/>
    </font>
    <font>
      <b/>
      <u/>
      <sz val="11"/>
      <color rgb="FFFF0000"/>
      <name val="Calibri"/>
      <family val="2"/>
      <scheme val="minor"/>
    </font>
    <font>
      <b/>
      <sz val="11"/>
      <color rgb="FFFF0000"/>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u/>
      <sz val="18"/>
      <color theme="1"/>
      <name val="Calibri"/>
      <family val="2"/>
      <scheme val="minor"/>
    </font>
    <font>
      <b/>
      <u/>
      <sz val="16"/>
      <color theme="1"/>
      <name val="Calibri"/>
      <family val="2"/>
      <scheme val="minor"/>
    </font>
    <font>
      <b/>
      <i/>
      <sz val="12"/>
      <color theme="1"/>
      <name val="Calibri"/>
      <family val="2"/>
      <scheme val="minor"/>
    </font>
    <font>
      <b/>
      <sz val="11"/>
      <name val="Calibri"/>
      <family val="2"/>
      <scheme val="minor"/>
    </font>
    <font>
      <sz val="11"/>
      <name val="Calibri"/>
      <family val="2"/>
      <scheme val="minor"/>
    </font>
    <font>
      <sz val="11"/>
      <color rgb="FF1F1F1F"/>
      <name val="Calibri"/>
      <family val="2"/>
      <scheme val="minor"/>
    </font>
    <font>
      <sz val="11"/>
      <color rgb="FFFF0000"/>
      <name val="Calibri"/>
      <family val="2"/>
      <scheme val="minor"/>
    </font>
    <font>
      <sz val="11"/>
      <color rgb="FF006100"/>
      <name val="Calibri"/>
      <family val="2"/>
      <scheme val="minor"/>
    </font>
    <font>
      <sz val="12"/>
      <name val="Calibri"/>
      <family val="2"/>
      <scheme val="minor"/>
    </font>
    <font>
      <i/>
      <sz val="12"/>
      <name val="Calibri"/>
      <family val="2"/>
      <scheme val="minor"/>
    </font>
    <font>
      <b/>
      <sz val="12"/>
      <name val="Calibri"/>
      <family val="2"/>
      <scheme val="minor"/>
    </font>
    <font>
      <b/>
      <sz val="12"/>
      <color rgb="FF0070C0"/>
      <name val="Calibri"/>
      <family val="2"/>
      <scheme val="minor"/>
    </font>
    <font>
      <b/>
      <sz val="12"/>
      <color rgb="FFFF0000"/>
      <name val="Calibri"/>
      <family val="2"/>
      <scheme val="minor"/>
    </font>
    <font>
      <sz val="11"/>
      <color rgb="FF9C0006"/>
      <name val="Calibri"/>
      <family val="2"/>
      <scheme val="minor"/>
    </font>
    <font>
      <sz val="11"/>
      <color rgb="FF9C6500"/>
      <name val="Calibri"/>
      <family val="2"/>
      <scheme val="minor"/>
    </font>
    <font>
      <sz val="11"/>
      <color rgb="FF00B050"/>
      <name val="Calibri"/>
      <family val="2"/>
      <scheme val="minor"/>
    </font>
    <font>
      <u/>
      <sz val="11"/>
      <name val="Calibri"/>
      <family val="2"/>
      <scheme val="minor"/>
    </font>
    <font>
      <i/>
      <sz val="11"/>
      <color rgb="FFFF0000"/>
      <name val="Calibri"/>
      <family val="2"/>
      <scheme val="minor"/>
    </font>
    <font>
      <i/>
      <sz val="11"/>
      <name val="Calibri"/>
      <family val="2"/>
      <scheme val="minor"/>
    </font>
    <font>
      <sz val="10"/>
      <color rgb="FFFF0000"/>
      <name val="Calibri"/>
      <family val="2"/>
      <scheme val="minor"/>
    </font>
    <font>
      <sz val="11"/>
      <color rgb="FF0070C0"/>
      <name val="Calibri"/>
      <family val="2"/>
      <scheme val="minor"/>
    </font>
    <font>
      <b/>
      <sz val="11"/>
      <color rgb="FF0070C0"/>
      <name val="Calibri"/>
      <family val="2"/>
      <scheme val="minor"/>
    </font>
    <font>
      <b/>
      <sz val="11"/>
      <color rgb="FF7030A0"/>
      <name val="Calibri"/>
      <family val="2"/>
      <scheme val="minor"/>
    </font>
    <font>
      <b/>
      <sz val="11"/>
      <color rgb="FF00B050"/>
      <name val="Calibri"/>
      <family val="2"/>
      <scheme val="minor"/>
    </font>
    <font>
      <i/>
      <u/>
      <sz val="11"/>
      <color theme="1"/>
      <name val="Calibri"/>
      <family val="2"/>
      <scheme val="minor"/>
    </font>
    <font>
      <i/>
      <sz val="12"/>
      <color theme="1"/>
      <name val="Calibri"/>
      <family val="2"/>
      <scheme val="minor"/>
    </font>
    <font>
      <i/>
      <u/>
      <sz val="12"/>
      <color theme="1"/>
      <name val="Calibri"/>
      <family val="2"/>
      <scheme val="minor"/>
    </font>
    <font>
      <sz val="11"/>
      <color rgb="FF222222"/>
      <name val="Calibri"/>
      <family val="2"/>
      <scheme val="minor"/>
    </font>
    <font>
      <i/>
      <sz val="11"/>
      <color rgb="FF222222"/>
      <name val="Calibri"/>
      <family val="2"/>
      <scheme val="minor"/>
    </font>
    <font>
      <u/>
      <sz val="11"/>
      <color rgb="FF222222"/>
      <name val="Calibri"/>
      <family val="2"/>
      <scheme val="minor"/>
    </font>
    <font>
      <sz val="12"/>
      <color theme="1"/>
      <name val="Calibri"/>
      <family val="2"/>
      <scheme val="minor"/>
    </font>
    <font>
      <b/>
      <sz val="12"/>
      <color theme="1"/>
      <name val="Calibri"/>
      <family val="2"/>
      <scheme val="minor"/>
    </font>
    <font>
      <vertAlign val="subscript"/>
      <sz val="12"/>
      <color theme="1"/>
      <name val="Calibri"/>
      <family val="2"/>
      <scheme val="minor"/>
    </font>
    <font>
      <b/>
      <sz val="11"/>
      <color rgb="FF222222"/>
      <name val="Calibri"/>
      <family val="2"/>
      <scheme val="minor"/>
    </font>
    <font>
      <b/>
      <sz val="11"/>
      <color rgb="FF0000FF"/>
      <name val="Calibri"/>
      <family val="2"/>
      <scheme val="minor"/>
    </font>
    <font>
      <b/>
      <sz val="11"/>
      <color rgb="FF008000"/>
      <name val="Calibri"/>
      <family val="2"/>
      <scheme val="minor"/>
    </font>
    <font>
      <b/>
      <sz val="18"/>
      <color theme="1"/>
      <name val="Calibri"/>
      <family val="2"/>
      <scheme val="minor"/>
    </font>
    <font>
      <sz val="10"/>
      <color theme="1"/>
      <name val="Arial Unicode MS"/>
      <family val="2"/>
    </font>
    <font>
      <b/>
      <sz val="13.5"/>
      <color theme="1"/>
      <name val="Calibri"/>
      <family val="2"/>
      <scheme val="minor"/>
    </font>
    <font>
      <b/>
      <sz val="11"/>
      <color rgb="FFFF0000"/>
      <name val="Calibri"/>
      <family val="2"/>
    </font>
  </fonts>
  <fills count="15">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5"/>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5"/>
      </patternFill>
    </fill>
    <fill>
      <patternFill patternType="solid">
        <fgColor theme="6" tint="0.59999389629810485"/>
        <bgColor indexed="65"/>
      </patternFill>
    </fill>
    <fill>
      <patternFill patternType="darkUp">
        <bgColor theme="2"/>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2" tint="-9.9948118533890809E-2"/>
      </top>
      <bottom style="thin">
        <color theme="2" tint="-9.9948118533890809E-2"/>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6"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391">
    <xf numFmtId="0" fontId="0" fillId="0" borderId="0" xfId="0"/>
    <xf numFmtId="0" fontId="2" fillId="0" borderId="0" xfId="0" applyFont="1"/>
    <xf numFmtId="0" fontId="2" fillId="0" borderId="0" xfId="0" applyFont="1" applyAlignment="1">
      <alignment horizontal="centerContinuous"/>
    </xf>
    <xf numFmtId="0" fontId="2" fillId="0" borderId="0" xfId="0" applyFont="1" applyAlignment="1">
      <alignment horizontal="center"/>
    </xf>
    <xf numFmtId="0" fontId="3" fillId="0" borderId="0" xfId="0" applyFont="1" applyAlignment="1">
      <alignment horizontal="center"/>
    </xf>
    <xf numFmtId="0" fontId="2" fillId="3" borderId="2" xfId="0" applyFont="1" applyFill="1" applyBorder="1" applyAlignment="1" applyProtection="1">
      <alignment horizontal="center"/>
      <protection locked="0"/>
    </xf>
    <xf numFmtId="164" fontId="2" fillId="0" borderId="0" xfId="1" applyNumberFormat="1" applyFont="1" applyAlignment="1">
      <alignment horizontal="center"/>
    </xf>
    <xf numFmtId="0" fontId="2" fillId="2" borderId="3" xfId="0" applyFont="1" applyFill="1" applyBorder="1" applyAlignment="1">
      <alignment horizontal="center"/>
    </xf>
    <xf numFmtId="0" fontId="4" fillId="2" borderId="6" xfId="0" applyFont="1" applyFill="1" applyBorder="1" applyAlignment="1">
      <alignment horizontal="center"/>
    </xf>
    <xf numFmtId="0" fontId="5" fillId="2" borderId="6" xfId="0" applyFont="1" applyFill="1" applyBorder="1" applyAlignment="1">
      <alignment horizontal="center"/>
    </xf>
    <xf numFmtId="0" fontId="0" fillId="0" borderId="11" xfId="0" applyBorder="1" applyAlignment="1">
      <alignment horizontal="center"/>
    </xf>
    <xf numFmtId="2" fontId="0" fillId="0" borderId="11" xfId="0" applyNumberFormat="1" applyBorder="1" applyAlignment="1">
      <alignment horizontal="center"/>
    </xf>
    <xf numFmtId="0" fontId="0" fillId="0" borderId="0" xfId="0" applyAlignment="1">
      <alignment horizontal="centerContinuous"/>
    </xf>
    <xf numFmtId="0" fontId="2" fillId="0" borderId="0" xfId="0" applyFont="1" applyAlignment="1">
      <alignment horizontal="right"/>
    </xf>
    <xf numFmtId="0" fontId="8" fillId="0" borderId="11" xfId="2"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8" fillId="0" borderId="11" xfId="2" quotePrefix="1" applyBorder="1" applyAlignment="1">
      <alignment horizontal="center"/>
    </xf>
    <xf numFmtId="0" fontId="0" fillId="0" borderId="13" xfId="0" applyBorder="1" applyAlignment="1">
      <alignment horizontal="left"/>
    </xf>
    <xf numFmtId="0" fontId="0" fillId="0" borderId="14" xfId="0" applyBorder="1" applyAlignment="1">
      <alignment horizontal="left"/>
    </xf>
    <xf numFmtId="2" fontId="0" fillId="0" borderId="12" xfId="0" applyNumberFormat="1" applyBorder="1" applyAlignment="1">
      <alignment horizontal="center"/>
    </xf>
    <xf numFmtId="2" fontId="2" fillId="0" borderId="2" xfId="0" applyNumberFormat="1" applyFont="1" applyBorder="1" applyAlignment="1">
      <alignment horizontal="center"/>
    </xf>
    <xf numFmtId="0" fontId="2" fillId="2" borderId="8" xfId="0" applyFont="1" applyFill="1" applyBorder="1" applyAlignment="1" applyProtection="1">
      <alignment horizontal="center"/>
      <protection locked="0"/>
    </xf>
    <xf numFmtId="0" fontId="12" fillId="2" borderId="6" xfId="0" applyFont="1" applyFill="1" applyBorder="1" applyAlignment="1">
      <alignment horizontal="center"/>
    </xf>
    <xf numFmtId="0" fontId="13" fillId="2" borderId="0" xfId="0" applyFont="1" applyFill="1"/>
    <xf numFmtId="0" fontId="13" fillId="2" borderId="7" xfId="0" applyFont="1" applyFill="1" applyBorder="1"/>
    <xf numFmtId="0" fontId="0" fillId="2" borderId="0" xfId="0" applyFill="1"/>
    <xf numFmtId="0" fontId="0" fillId="2" borderId="4" xfId="0" applyFill="1" applyBorder="1"/>
    <xf numFmtId="0" fontId="0" fillId="0" borderId="0" xfId="0" applyProtection="1">
      <protection locked="0"/>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6" xfId="0" applyFill="1" applyBorder="1" applyAlignment="1">
      <alignment horizontal="center"/>
    </xf>
    <xf numFmtId="0" fontId="0" fillId="2" borderId="0" xfId="0" applyFill="1" applyProtection="1">
      <protection locked="0"/>
    </xf>
    <xf numFmtId="0" fontId="0" fillId="2" borderId="9" xfId="0" applyFill="1" applyBorder="1" applyProtection="1">
      <protection locked="0"/>
    </xf>
    <xf numFmtId="0" fontId="0" fillId="2" borderId="0" xfId="0" applyFill="1" applyAlignment="1">
      <alignment horizontal="center" wrapText="1"/>
    </xf>
    <xf numFmtId="0" fontId="0" fillId="2" borderId="0" xfId="0" applyFill="1" applyAlignment="1">
      <alignment horizontal="center"/>
    </xf>
    <xf numFmtId="3" fontId="0" fillId="2" borderId="0" xfId="0" applyNumberFormat="1" applyFill="1" applyAlignment="1">
      <alignment horizontal="center"/>
    </xf>
    <xf numFmtId="0" fontId="2" fillId="2" borderId="4" xfId="0" applyFont="1" applyFill="1" applyBorder="1" applyAlignment="1" applyProtection="1">
      <alignment horizontal="center"/>
      <protection locked="0"/>
    </xf>
    <xf numFmtId="0" fontId="13" fillId="0" borderId="0" xfId="0" applyFont="1" applyAlignment="1">
      <alignment vertical="top"/>
    </xf>
    <xf numFmtId="0" fontId="0" fillId="0" borderId="0" xfId="0" applyAlignment="1">
      <alignment vertical="top"/>
    </xf>
    <xf numFmtId="0" fontId="13"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0" fontId="0" fillId="2" borderId="19" xfId="0" applyFill="1" applyBorder="1"/>
    <xf numFmtId="0" fontId="0" fillId="2" borderId="23" xfId="0" applyFill="1" applyBorder="1"/>
    <xf numFmtId="0" fontId="0" fillId="2" borderId="16" xfId="0" applyFill="1" applyBorder="1"/>
    <xf numFmtId="0" fontId="8" fillId="2" borderId="5" xfId="2" quotePrefix="1" applyFill="1" applyBorder="1" applyAlignment="1" applyProtection="1">
      <alignment horizontal="right"/>
    </xf>
    <xf numFmtId="0" fontId="0" fillId="2" borderId="10" xfId="0" applyFill="1" applyBorder="1" applyProtection="1">
      <protection locked="0"/>
    </xf>
    <xf numFmtId="3" fontId="0" fillId="2" borderId="0" xfId="0" applyNumberFormat="1" applyFill="1"/>
    <xf numFmtId="0" fontId="15" fillId="0" borderId="0" xfId="0" applyFont="1"/>
    <xf numFmtId="0" fontId="0" fillId="2" borderId="1" xfId="0" applyFill="1" applyBorder="1" applyAlignment="1">
      <alignment horizontal="center"/>
    </xf>
    <xf numFmtId="0" fontId="0" fillId="2" borderId="17" xfId="0" applyFill="1" applyBorder="1" applyAlignment="1">
      <alignment horizontal="center"/>
    </xf>
    <xf numFmtId="0" fontId="0" fillId="2" borderId="16" xfId="0" applyFill="1" applyBorder="1" applyAlignment="1">
      <alignment horizontal="center"/>
    </xf>
    <xf numFmtId="0" fontId="0" fillId="0" borderId="0" xfId="0" applyAlignment="1" applyProtection="1">
      <alignment horizontal="center"/>
      <protection locked="0"/>
    </xf>
    <xf numFmtId="0" fontId="2" fillId="0" borderId="0" xfId="0" applyFont="1" applyProtection="1">
      <protection locked="0"/>
    </xf>
    <xf numFmtId="0" fontId="0" fillId="0" borderId="0" xfId="0" quotePrefix="1" applyAlignment="1" applyProtection="1">
      <alignment horizontal="center"/>
      <protection locked="0"/>
    </xf>
    <xf numFmtId="0" fontId="0" fillId="2" borderId="20" xfId="0" applyFill="1" applyBorder="1"/>
    <xf numFmtId="0" fontId="0" fillId="2" borderId="26" xfId="0" applyFill="1" applyBorder="1"/>
    <xf numFmtId="0" fontId="0" fillId="2" borderId="12" xfId="0" applyFill="1" applyBorder="1"/>
    <xf numFmtId="0" fontId="0" fillId="2" borderId="17" xfId="0" applyFill="1" applyBorder="1"/>
    <xf numFmtId="0" fontId="0" fillId="2" borderId="1" xfId="0" applyFill="1" applyBorder="1"/>
    <xf numFmtId="0" fontId="0" fillId="2" borderId="24" xfId="0" applyFill="1" applyBorder="1"/>
    <xf numFmtId="0" fontId="0" fillId="2" borderId="14" xfId="0" applyFill="1" applyBorder="1"/>
    <xf numFmtId="3" fontId="0" fillId="2" borderId="26" xfId="0" applyNumberFormat="1" applyFill="1" applyBorder="1" applyAlignment="1">
      <alignment horizontal="center"/>
    </xf>
    <xf numFmtId="3" fontId="0" fillId="2" borderId="23" xfId="0" applyNumberFormat="1" applyFill="1" applyBorder="1" applyAlignment="1">
      <alignment horizontal="center"/>
    </xf>
    <xf numFmtId="3" fontId="0" fillId="2" borderId="12" xfId="0" applyNumberFormat="1" applyFill="1" applyBorder="1" applyAlignment="1">
      <alignment horizontal="center"/>
    </xf>
    <xf numFmtId="0" fontId="15" fillId="0" borderId="0" xfId="0" applyFont="1" applyProtection="1">
      <protection locked="0"/>
    </xf>
    <xf numFmtId="3" fontId="0" fillId="0" borderId="0" xfId="0" applyNumberFormat="1" applyAlignment="1" applyProtection="1">
      <alignment horizontal="center"/>
      <protection locked="0"/>
    </xf>
    <xf numFmtId="164" fontId="16" fillId="4" borderId="0" xfId="1" applyNumberFormat="1" applyFont="1" applyFill="1" applyAlignment="1" applyProtection="1">
      <alignment horizontal="center"/>
      <protection locked="0"/>
    </xf>
    <xf numFmtId="164" fontId="0" fillId="0" borderId="0" xfId="0" applyNumberFormat="1" applyAlignment="1" applyProtection="1">
      <alignment horizontal="center"/>
      <protection locked="0"/>
    </xf>
    <xf numFmtId="0" fontId="2" fillId="3" borderId="25" xfId="0" applyFont="1" applyFill="1" applyBorder="1" applyAlignment="1" applyProtection="1">
      <alignment horizontal="center"/>
      <protection locked="0"/>
    </xf>
    <xf numFmtId="0" fontId="0" fillId="2" borderId="15" xfId="0" applyFill="1" applyBorder="1" applyAlignment="1">
      <alignment horizontal="center"/>
    </xf>
    <xf numFmtId="0" fontId="0" fillId="2" borderId="24" xfId="0" applyFill="1" applyBorder="1" applyAlignment="1">
      <alignment horizontal="center"/>
    </xf>
    <xf numFmtId="0" fontId="0" fillId="2" borderId="14" xfId="0" applyFill="1" applyBorder="1" applyAlignment="1">
      <alignment horizontal="center"/>
    </xf>
    <xf numFmtId="3" fontId="17" fillId="0" borderId="0" xfId="0" applyNumberFormat="1" applyFont="1" applyAlignment="1">
      <alignment horizontal="left"/>
    </xf>
    <xf numFmtId="3" fontId="17" fillId="0" borderId="0" xfId="0" quotePrefix="1" applyNumberFormat="1" applyFont="1" applyAlignment="1">
      <alignment horizontal="left"/>
    </xf>
    <xf numFmtId="3" fontId="19" fillId="0" borderId="0" xfId="0" applyNumberFormat="1" applyFont="1" applyAlignment="1">
      <alignment horizontal="left"/>
    </xf>
    <xf numFmtId="0" fontId="0" fillId="0" borderId="0" xfId="0" applyAlignment="1" applyProtection="1">
      <alignment horizontal="left"/>
      <protection locked="0"/>
    </xf>
    <xf numFmtId="0" fontId="15" fillId="0" borderId="0" xfId="0" applyFont="1" applyAlignment="1" applyProtection="1">
      <alignment horizontal="center"/>
      <protection locked="0"/>
    </xf>
    <xf numFmtId="3" fontId="0" fillId="0" borderId="0" xfId="0" applyNumberFormat="1" applyProtection="1">
      <protection locked="0"/>
    </xf>
    <xf numFmtId="0" fontId="0" fillId="0" borderId="0" xfId="0" applyAlignment="1" applyProtection="1">
      <alignment horizontal="right"/>
      <protection locked="0"/>
    </xf>
    <xf numFmtId="9" fontId="0" fillId="0" borderId="0" xfId="0" applyNumberFormat="1" applyAlignment="1" applyProtection="1">
      <alignment horizontal="center"/>
      <protection locked="0"/>
    </xf>
    <xf numFmtId="0" fontId="0" fillId="0" borderId="23" xfId="0" applyBorder="1" applyAlignment="1" applyProtection="1">
      <alignment horizontal="center"/>
      <protection locked="0"/>
    </xf>
    <xf numFmtId="0" fontId="0" fillId="0" borderId="19" xfId="0" applyBorder="1" applyProtection="1">
      <protection locked="0"/>
    </xf>
    <xf numFmtId="3" fontId="0" fillId="0" borderId="19" xfId="0" applyNumberFormat="1" applyBorder="1" applyProtection="1">
      <protection locked="0"/>
    </xf>
    <xf numFmtId="3" fontId="0" fillId="0" borderId="1" xfId="0" applyNumberFormat="1" applyBorder="1" applyProtection="1">
      <protection locked="0"/>
    </xf>
    <xf numFmtId="3" fontId="13" fillId="0" borderId="0" xfId="0" applyNumberFormat="1" applyFont="1" applyAlignment="1">
      <alignment horizontal="left"/>
    </xf>
    <xf numFmtId="3" fontId="12" fillId="9" borderId="0" xfId="0" applyNumberFormat="1" applyFont="1" applyFill="1" applyAlignment="1">
      <alignment horizontal="right"/>
    </xf>
    <xf numFmtId="3" fontId="0" fillId="2" borderId="22" xfId="0" applyNumberFormat="1" applyFill="1" applyBorder="1" applyAlignment="1">
      <alignment horizontal="center"/>
    </xf>
    <xf numFmtId="3" fontId="0" fillId="2" borderId="18" xfId="0" applyNumberFormat="1" applyFill="1" applyBorder="1"/>
    <xf numFmtId="3" fontId="0" fillId="2" borderId="19" xfId="0" applyNumberFormat="1" applyFill="1" applyBorder="1"/>
    <xf numFmtId="3" fontId="0" fillId="2" borderId="15" xfId="0" applyNumberFormat="1" applyFill="1" applyBorder="1"/>
    <xf numFmtId="3" fontId="0" fillId="2" borderId="22" xfId="0" applyNumberFormat="1" applyFill="1" applyBorder="1"/>
    <xf numFmtId="3" fontId="0" fillId="2" borderId="23" xfId="0" applyNumberFormat="1" applyFill="1" applyBorder="1"/>
    <xf numFmtId="3" fontId="0" fillId="2" borderId="14" xfId="0" applyNumberFormat="1" applyFill="1" applyBorder="1"/>
    <xf numFmtId="3" fontId="13" fillId="10" borderId="0" xfId="0" applyNumberFormat="1" applyFont="1" applyFill="1" applyAlignment="1">
      <alignment horizontal="right"/>
    </xf>
    <xf numFmtId="3" fontId="27" fillId="0" borderId="0" xfId="0" applyNumberFormat="1" applyFont="1" applyAlignment="1">
      <alignment horizontal="left"/>
    </xf>
    <xf numFmtId="3" fontId="13" fillId="0" borderId="0" xfId="0" applyNumberFormat="1" applyFont="1" applyAlignment="1">
      <alignment horizontal="right"/>
    </xf>
    <xf numFmtId="3" fontId="0" fillId="0" borderId="0" xfId="0" applyNumberFormat="1"/>
    <xf numFmtId="3" fontId="15" fillId="0" borderId="0" xfId="0" applyNumberFormat="1" applyFont="1"/>
    <xf numFmtId="3" fontId="0" fillId="2" borderId="13" xfId="0" applyNumberFormat="1" applyFill="1" applyBorder="1" applyAlignment="1">
      <alignment horizontal="center"/>
    </xf>
    <xf numFmtId="3" fontId="0" fillId="2" borderId="16" xfId="0" applyNumberFormat="1" applyFill="1" applyBorder="1" applyAlignment="1">
      <alignment horizontal="center"/>
    </xf>
    <xf numFmtId="3" fontId="0" fillId="2" borderId="17" xfId="0" applyNumberFormat="1" applyFill="1" applyBorder="1" applyAlignment="1">
      <alignment horizontal="center"/>
    </xf>
    <xf numFmtId="9" fontId="0" fillId="2" borderId="23" xfId="1" applyFont="1" applyFill="1" applyBorder="1" applyAlignment="1">
      <alignment horizontal="center"/>
    </xf>
    <xf numFmtId="3" fontId="0" fillId="2" borderId="13" xfId="0" applyNumberFormat="1" applyFill="1" applyBorder="1"/>
    <xf numFmtId="3" fontId="0" fillId="2" borderId="16" xfId="0" applyNumberFormat="1" applyFill="1" applyBorder="1"/>
    <xf numFmtId="3" fontId="0" fillId="2" borderId="13" xfId="0" applyNumberFormat="1" applyFill="1" applyBorder="1" applyAlignment="1">
      <alignment horizontal="centerContinuous"/>
    </xf>
    <xf numFmtId="3" fontId="0" fillId="2" borderId="17" xfId="0" applyNumberFormat="1" applyFill="1" applyBorder="1" applyAlignment="1">
      <alignment horizontal="centerContinuous"/>
    </xf>
    <xf numFmtId="10" fontId="0" fillId="2" borderId="18" xfId="1" applyNumberFormat="1" applyFont="1" applyFill="1" applyBorder="1" applyAlignment="1">
      <alignment horizontal="centerContinuous"/>
    </xf>
    <xf numFmtId="10" fontId="0" fillId="2" borderId="20" xfId="1" applyNumberFormat="1" applyFont="1" applyFill="1" applyBorder="1" applyAlignment="1">
      <alignment horizontal="centerContinuous"/>
    </xf>
    <xf numFmtId="3" fontId="0" fillId="2" borderId="21" xfId="0" applyNumberFormat="1" applyFill="1" applyBorder="1"/>
    <xf numFmtId="10" fontId="0" fillId="2" borderId="21" xfId="1" applyNumberFormat="1" applyFont="1" applyFill="1" applyBorder="1" applyAlignment="1">
      <alignment horizontal="centerContinuous"/>
    </xf>
    <xf numFmtId="10" fontId="0" fillId="2" borderId="26" xfId="1" applyNumberFormat="1" applyFont="1" applyFill="1" applyBorder="1" applyAlignment="1">
      <alignment horizontal="centerContinuous"/>
    </xf>
    <xf numFmtId="10" fontId="0" fillId="2" borderId="22" xfId="1" applyNumberFormat="1" applyFont="1" applyFill="1" applyBorder="1" applyAlignment="1">
      <alignment horizontal="centerContinuous"/>
    </xf>
    <xf numFmtId="10" fontId="0" fillId="2" borderId="12" xfId="1" applyNumberFormat="1" applyFont="1" applyFill="1" applyBorder="1" applyAlignment="1">
      <alignment horizontal="centerContinuous"/>
    </xf>
    <xf numFmtId="3" fontId="26" fillId="2" borderId="0" xfId="0" applyNumberFormat="1" applyFont="1" applyFill="1"/>
    <xf numFmtId="3" fontId="13" fillId="0" borderId="13" xfId="0" applyNumberFormat="1" applyFont="1" applyBorder="1" applyAlignment="1">
      <alignment horizontal="left"/>
    </xf>
    <xf numFmtId="0" fontId="0" fillId="0" borderId="16" xfId="0" applyBorder="1" applyProtection="1">
      <protection locked="0"/>
    </xf>
    <xf numFmtId="0" fontId="0" fillId="0" borderId="17" xfId="0" applyBorder="1" applyProtection="1">
      <protection locked="0"/>
    </xf>
    <xf numFmtId="3" fontId="13" fillId="0" borderId="16" xfId="0" applyNumberFormat="1" applyFont="1" applyBorder="1" applyAlignment="1">
      <alignment horizontal="left"/>
    </xf>
    <xf numFmtId="3" fontId="13" fillId="0" borderId="17" xfId="0" applyNumberFormat="1" applyFont="1" applyBorder="1" applyAlignment="1">
      <alignment horizontal="left"/>
    </xf>
    <xf numFmtId="0" fontId="7" fillId="0" borderId="0" xfId="0" applyFont="1" applyProtection="1">
      <protection locked="0"/>
    </xf>
    <xf numFmtId="0" fontId="2" fillId="0" borderId="0" xfId="0" applyFont="1" applyAlignment="1" applyProtection="1">
      <alignment horizontal="center"/>
      <protection locked="0"/>
    </xf>
    <xf numFmtId="3" fontId="6" fillId="0" borderId="0" xfId="0" applyNumberFormat="1" applyFont="1" applyProtection="1">
      <protection locked="0"/>
    </xf>
    <xf numFmtId="3" fontId="6" fillId="0" borderId="0" xfId="0" applyNumberFormat="1" applyFont="1" applyAlignment="1" applyProtection="1">
      <alignment horizontal="center"/>
      <protection locked="0"/>
    </xf>
    <xf numFmtId="10" fontId="0" fillId="0" borderId="0" xfId="0" applyNumberFormat="1" applyProtection="1">
      <protection locked="0"/>
    </xf>
    <xf numFmtId="10" fontId="0" fillId="0" borderId="0" xfId="0" applyNumberFormat="1" applyAlignment="1" applyProtection="1">
      <alignment horizontal="center"/>
      <protection locked="0"/>
    </xf>
    <xf numFmtId="0" fontId="0" fillId="0" borderId="0" xfId="0" quotePrefix="1" applyAlignment="1" applyProtection="1">
      <alignment horizontal="centerContinuous"/>
      <protection locked="0"/>
    </xf>
    <xf numFmtId="0" fontId="0" fillId="0" borderId="0" xfId="0" applyAlignment="1" applyProtection="1">
      <alignment horizontal="centerContinuous"/>
      <protection locked="0"/>
    </xf>
    <xf numFmtId="0" fontId="0" fillId="0" borderId="19" xfId="0" applyBorder="1" applyAlignment="1" applyProtection="1">
      <alignment horizontal="center"/>
      <protection locked="0"/>
    </xf>
    <xf numFmtId="3" fontId="22" fillId="5" borderId="0" xfId="4" applyNumberFormat="1" applyAlignment="1" applyProtection="1">
      <alignment horizontal="center"/>
      <protection locked="0"/>
    </xf>
    <xf numFmtId="0" fontId="29" fillId="0" borderId="19" xfId="0" applyFont="1" applyBorder="1" applyProtection="1">
      <protection locked="0"/>
    </xf>
    <xf numFmtId="3" fontId="13" fillId="0" borderId="0" xfId="0" applyNumberFormat="1" applyFont="1" applyAlignment="1">
      <alignment horizontal="center"/>
    </xf>
    <xf numFmtId="3" fontId="0" fillId="0" borderId="0" xfId="0" applyNumberFormat="1" applyAlignment="1" applyProtection="1">
      <alignment horizontal="left"/>
      <protection locked="0"/>
    </xf>
    <xf numFmtId="164" fontId="2" fillId="9" borderId="0" xfId="1" applyNumberFormat="1" applyFont="1" applyFill="1" applyAlignment="1" applyProtection="1">
      <alignment horizontal="center"/>
      <protection locked="0"/>
    </xf>
    <xf numFmtId="0" fontId="33" fillId="0" borderId="0" xfId="0" applyFont="1" applyProtection="1">
      <protection locked="0"/>
    </xf>
    <xf numFmtId="0" fontId="7" fillId="0" borderId="0" xfId="0" applyFont="1"/>
    <xf numFmtId="0" fontId="0" fillId="0" borderId="0" xfId="0" applyAlignment="1">
      <alignment horizontal="center"/>
    </xf>
    <xf numFmtId="3" fontId="0" fillId="0" borderId="0" xfId="0" applyNumberFormat="1" applyAlignment="1">
      <alignment horizontal="center"/>
    </xf>
    <xf numFmtId="0" fontId="0" fillId="2" borderId="20" xfId="0" applyFill="1" applyBorder="1" applyAlignment="1">
      <alignment horizontal="center"/>
    </xf>
    <xf numFmtId="0" fontId="0" fillId="2" borderId="12" xfId="0" applyFill="1" applyBorder="1" applyAlignment="1">
      <alignment horizontal="center"/>
    </xf>
    <xf numFmtId="0" fontId="0" fillId="0" borderId="23" xfId="0" applyBorder="1"/>
    <xf numFmtId="0" fontId="16" fillId="4" borderId="0" xfId="3" applyBorder="1"/>
    <xf numFmtId="0" fontId="16" fillId="4" borderId="26" xfId="3" applyBorder="1"/>
    <xf numFmtId="3" fontId="0" fillId="8" borderId="0" xfId="0" applyNumberFormat="1" applyFill="1"/>
    <xf numFmtId="3" fontId="0" fillId="8" borderId="26" xfId="0" applyNumberFormat="1" applyFill="1" applyBorder="1"/>
    <xf numFmtId="3" fontId="0" fillId="8" borderId="23" xfId="0" applyNumberFormat="1" applyFill="1" applyBorder="1"/>
    <xf numFmtId="3" fontId="0" fillId="8" borderId="12" xfId="0" applyNumberFormat="1" applyFill="1" applyBorder="1"/>
    <xf numFmtId="3" fontId="0" fillId="2" borderId="26" xfId="0" applyNumberFormat="1" applyFill="1" applyBorder="1"/>
    <xf numFmtId="3" fontId="0" fillId="2" borderId="12" xfId="0" applyNumberFormat="1" applyFill="1" applyBorder="1"/>
    <xf numFmtId="3" fontId="0" fillId="2" borderId="20" xfId="0" applyNumberFormat="1" applyFill="1" applyBorder="1"/>
    <xf numFmtId="0" fontId="0" fillId="2" borderId="15" xfId="0" applyFill="1" applyBorder="1"/>
    <xf numFmtId="0" fontId="7" fillId="2" borderId="0" xfId="0" applyFont="1" applyFill="1"/>
    <xf numFmtId="0" fontId="0" fillId="2" borderId="17" xfId="0" applyFill="1" applyBorder="1" applyAlignment="1">
      <alignment horizontal="right"/>
    </xf>
    <xf numFmtId="3" fontId="16" fillId="4" borderId="0" xfId="3" applyNumberFormat="1" applyAlignment="1" applyProtection="1">
      <alignment horizontal="center"/>
      <protection locked="0"/>
    </xf>
    <xf numFmtId="3" fontId="16" fillId="4" borderId="0" xfId="3" applyNumberFormat="1" applyProtection="1">
      <protection locked="0"/>
    </xf>
    <xf numFmtId="3" fontId="0" fillId="2" borderId="17" xfId="0" applyNumberFormat="1" applyFill="1" applyBorder="1"/>
    <xf numFmtId="3" fontId="13" fillId="2" borderId="13" xfId="0" applyNumberFormat="1" applyFont="1" applyFill="1" applyBorder="1" applyAlignment="1">
      <alignment horizontal="left"/>
    </xf>
    <xf numFmtId="3" fontId="13" fillId="2" borderId="16" xfId="0" applyNumberFormat="1" applyFont="1" applyFill="1" applyBorder="1" applyAlignment="1">
      <alignment horizontal="left"/>
    </xf>
    <xf numFmtId="0" fontId="36" fillId="0" borderId="0" xfId="0" applyFont="1"/>
    <xf numFmtId="3" fontId="16" fillId="4" borderId="21" xfId="3" applyNumberFormat="1" applyBorder="1"/>
    <xf numFmtId="3" fontId="16" fillId="4" borderId="0" xfId="3" applyNumberFormat="1" applyBorder="1"/>
    <xf numFmtId="3" fontId="0" fillId="0" borderId="26" xfId="0" applyNumberFormat="1" applyBorder="1"/>
    <xf numFmtId="9" fontId="0" fillId="8" borderId="0" xfId="1" applyFont="1" applyFill="1" applyBorder="1" applyAlignment="1">
      <alignment horizontal="center"/>
    </xf>
    <xf numFmtId="9" fontId="0" fillId="8" borderId="0" xfId="1" applyFont="1" applyFill="1" applyBorder="1"/>
    <xf numFmtId="9" fontId="0" fillId="8" borderId="26" xfId="1" applyFont="1" applyFill="1" applyBorder="1"/>
    <xf numFmtId="3" fontId="0" fillId="0" borderId="23" xfId="0" applyNumberFormat="1" applyBorder="1"/>
    <xf numFmtId="3" fontId="0" fillId="0" borderId="12" xfId="0" applyNumberFormat="1" applyBorder="1"/>
    <xf numFmtId="3" fontId="23" fillId="6" borderId="21" xfId="5" applyNumberFormat="1" applyBorder="1"/>
    <xf numFmtId="3" fontId="23" fillId="6" borderId="0" xfId="5" applyNumberFormat="1" applyBorder="1"/>
    <xf numFmtId="0" fontId="23" fillId="6" borderId="0" xfId="5" applyBorder="1"/>
    <xf numFmtId="0" fontId="23" fillId="6" borderId="26" xfId="5" applyBorder="1"/>
    <xf numFmtId="3" fontId="22" fillId="5" borderId="21" xfId="4" applyNumberFormat="1" applyBorder="1"/>
    <xf numFmtId="3" fontId="22" fillId="5" borderId="0" xfId="4" applyNumberFormat="1" applyBorder="1"/>
    <xf numFmtId="0" fontId="22" fillId="5" borderId="0" xfId="4" applyBorder="1"/>
    <xf numFmtId="0" fontId="22" fillId="5" borderId="26" xfId="4" applyBorder="1"/>
    <xf numFmtId="0" fontId="13" fillId="2" borderId="17" xfId="0" applyFont="1" applyFill="1" applyBorder="1" applyAlignment="1">
      <alignment horizontal="center"/>
    </xf>
    <xf numFmtId="0" fontId="15" fillId="2" borderId="0" xfId="0" applyFont="1" applyFill="1"/>
    <xf numFmtId="9" fontId="0" fillId="2" borderId="20" xfId="1" applyFont="1" applyFill="1" applyBorder="1"/>
    <xf numFmtId="9" fontId="0" fillId="2" borderId="12" xfId="1" applyFont="1" applyFill="1" applyBorder="1"/>
    <xf numFmtId="1" fontId="0" fillId="2" borderId="16" xfId="0" applyNumberFormat="1" applyFill="1" applyBorder="1" applyAlignment="1">
      <alignment horizontal="center"/>
    </xf>
    <xf numFmtId="1" fontId="0" fillId="2" borderId="17" xfId="0" applyNumberFormat="1" applyFill="1" applyBorder="1" applyAlignment="1">
      <alignment horizontal="center"/>
    </xf>
    <xf numFmtId="3" fontId="0" fillId="2" borderId="21" xfId="0" quotePrefix="1" applyNumberFormat="1" applyFill="1" applyBorder="1"/>
    <xf numFmtId="0" fontId="16" fillId="4" borderId="1" xfId="3" applyBorder="1" applyAlignment="1">
      <alignment horizontal="center"/>
    </xf>
    <xf numFmtId="0" fontId="15" fillId="0" borderId="13" xfId="3" applyFont="1" applyFill="1" applyBorder="1"/>
    <xf numFmtId="0" fontId="15" fillId="0" borderId="16" xfId="3" applyFont="1" applyFill="1" applyBorder="1" applyAlignment="1">
      <alignment horizontal="center"/>
    </xf>
    <xf numFmtId="0" fontId="15" fillId="0" borderId="16" xfId="3" applyFont="1" applyFill="1" applyBorder="1"/>
    <xf numFmtId="0" fontId="15" fillId="0" borderId="17" xfId="3" applyFont="1" applyFill="1" applyBorder="1"/>
    <xf numFmtId="1" fontId="0" fillId="0" borderId="23" xfId="0" applyNumberFormat="1" applyBorder="1" applyAlignment="1">
      <alignment horizontal="center"/>
    </xf>
    <xf numFmtId="9" fontId="0" fillId="0" borderId="0" xfId="1" applyFont="1" applyAlignment="1">
      <alignment horizontal="center"/>
    </xf>
    <xf numFmtId="3" fontId="0" fillId="0" borderId="19" xfId="0" applyNumberFormat="1" applyBorder="1"/>
    <xf numFmtId="3" fontId="0" fillId="0" borderId="20" xfId="0" applyNumberFormat="1" applyBorder="1"/>
    <xf numFmtId="3" fontId="0" fillId="0" borderId="19" xfId="0" applyNumberFormat="1" applyBorder="1" applyAlignment="1">
      <alignment horizontal="center"/>
    </xf>
    <xf numFmtId="3" fontId="12" fillId="0" borderId="0" xfId="0" applyNumberFormat="1" applyFont="1" applyAlignment="1">
      <alignment horizontal="centerContinuous"/>
    </xf>
    <xf numFmtId="3" fontId="0" fillId="0" borderId="0" xfId="0" applyNumberFormat="1" applyAlignment="1">
      <alignment horizontal="centerContinuous"/>
    </xf>
    <xf numFmtId="0" fontId="23" fillId="6" borderId="1" xfId="5" applyBorder="1" applyAlignment="1">
      <alignment horizontal="center"/>
    </xf>
    <xf numFmtId="3" fontId="0" fillId="0" borderId="20" xfId="0" applyNumberFormat="1" applyBorder="1" applyAlignment="1">
      <alignment horizontal="right"/>
    </xf>
    <xf numFmtId="3" fontId="0" fillId="0" borderId="12" xfId="0" applyNumberFormat="1" applyBorder="1" applyAlignment="1">
      <alignment horizontal="right"/>
    </xf>
    <xf numFmtId="0" fontId="22" fillId="5" borderId="1" xfId="4" applyBorder="1" applyAlignment="1">
      <alignment horizontal="center"/>
    </xf>
    <xf numFmtId="0" fontId="15" fillId="0" borderId="13" xfId="3" applyFont="1" applyFill="1" applyBorder="1" applyAlignment="1">
      <alignment horizontal="center"/>
    </xf>
    <xf numFmtId="3" fontId="0" fillId="0" borderId="0" xfId="1" applyNumberFormat="1" applyFont="1" applyAlignment="1">
      <alignment horizontal="center"/>
    </xf>
    <xf numFmtId="3" fontId="16" fillId="4" borderId="1" xfId="3" applyNumberFormat="1" applyBorder="1" applyAlignment="1">
      <alignment horizontal="center"/>
    </xf>
    <xf numFmtId="3" fontId="0" fillId="0" borderId="1" xfId="0" applyNumberFormat="1" applyBorder="1" applyAlignment="1">
      <alignment horizontal="center"/>
    </xf>
    <xf numFmtId="0" fontId="28" fillId="0" borderId="16" xfId="3" applyFont="1" applyFill="1" applyBorder="1"/>
    <xf numFmtId="0" fontId="0" fillId="2" borderId="0" xfId="0" applyFill="1" applyAlignment="1" applyProtection="1">
      <alignment horizontal="left"/>
      <protection locked="0"/>
    </xf>
    <xf numFmtId="0" fontId="0" fillId="0" borderId="13" xfId="0" applyBorder="1" applyProtection="1">
      <protection locked="0"/>
    </xf>
    <xf numFmtId="0" fontId="5" fillId="0" borderId="17" xfId="0" applyFont="1" applyBorder="1" applyProtection="1">
      <protection locked="0"/>
    </xf>
    <xf numFmtId="0" fontId="36" fillId="0" borderId="0" xfId="0" applyFont="1" applyAlignment="1">
      <alignment horizontal="left" vertical="center" indent="1"/>
    </xf>
    <xf numFmtId="3" fontId="39" fillId="0" borderId="0" xfId="0" applyNumberFormat="1" applyFont="1"/>
    <xf numFmtId="0" fontId="39" fillId="0" borderId="0" xfId="0" applyFont="1"/>
    <xf numFmtId="3" fontId="35" fillId="0" borderId="0" xfId="0" applyNumberFormat="1" applyFont="1"/>
    <xf numFmtId="3" fontId="40" fillId="0" borderId="0" xfId="0" applyNumberFormat="1" applyFont="1"/>
    <xf numFmtId="3" fontId="39" fillId="0" borderId="0" xfId="0" quotePrefix="1" applyNumberFormat="1" applyFont="1"/>
    <xf numFmtId="3" fontId="40" fillId="0" borderId="0" xfId="0" quotePrefix="1" applyNumberFormat="1" applyFont="1"/>
    <xf numFmtId="3" fontId="40" fillId="0" borderId="0" xfId="0" applyNumberFormat="1" applyFont="1" applyAlignment="1">
      <alignment horizontal="left"/>
    </xf>
    <xf numFmtId="3" fontId="39" fillId="0" borderId="0" xfId="0" applyNumberFormat="1" applyFont="1" applyAlignment="1">
      <alignment horizontal="left"/>
    </xf>
    <xf numFmtId="0" fontId="39" fillId="0" borderId="0" xfId="0" quotePrefix="1" applyFont="1"/>
    <xf numFmtId="0" fontId="0" fillId="2" borderId="0" xfId="0" applyFill="1" applyAlignment="1">
      <alignment horizontal="right"/>
    </xf>
    <xf numFmtId="0" fontId="42" fillId="0" borderId="0" xfId="0" applyFont="1" applyAlignment="1">
      <alignment horizontal="left" vertical="center" indent="1"/>
    </xf>
    <xf numFmtId="0" fontId="43" fillId="0" borderId="0" xfId="0" applyFont="1" applyAlignment="1">
      <alignment horizontal="left" vertical="center" indent="1"/>
    </xf>
    <xf numFmtId="0" fontId="44" fillId="0" borderId="0" xfId="0" applyFont="1" applyAlignment="1">
      <alignment horizontal="left" vertical="center" indent="1"/>
    </xf>
    <xf numFmtId="0" fontId="16" fillId="4" borderId="0" xfId="3" applyAlignment="1" applyProtection="1">
      <alignment horizontal="center"/>
      <protection locked="0"/>
    </xf>
    <xf numFmtId="2" fontId="32" fillId="0" borderId="11" xfId="0" applyNumberFormat="1" applyFont="1" applyBorder="1" applyAlignment="1">
      <alignment horizontal="center"/>
    </xf>
    <xf numFmtId="3" fontId="15" fillId="2" borderId="22" xfId="0" applyNumberFormat="1" applyFont="1" applyFill="1" applyBorder="1"/>
    <xf numFmtId="3" fontId="0" fillId="0" borderId="16" xfId="0" applyNumberFormat="1" applyBorder="1"/>
    <xf numFmtId="3" fontId="2" fillId="2" borderId="0" xfId="0" applyNumberFormat="1" applyFont="1" applyFill="1" applyAlignment="1">
      <alignment horizontal="left"/>
    </xf>
    <xf numFmtId="3" fontId="0" fillId="2" borderId="1" xfId="0" applyNumberFormat="1" applyFill="1" applyBorder="1" applyAlignment="1">
      <alignment horizontal="center"/>
    </xf>
    <xf numFmtId="3" fontId="2" fillId="2" borderId="16" xfId="0" applyNumberFormat="1" applyFont="1" applyFill="1" applyBorder="1"/>
    <xf numFmtId="3" fontId="0" fillId="13" borderId="1" xfId="0" applyNumberFormat="1" applyFill="1" applyBorder="1" applyAlignment="1">
      <alignment horizontal="right"/>
    </xf>
    <xf numFmtId="3" fontId="0" fillId="2" borderId="24" xfId="0" applyNumberFormat="1" applyFill="1" applyBorder="1" applyAlignment="1">
      <alignment horizontal="center"/>
    </xf>
    <xf numFmtId="3" fontId="0" fillId="2" borderId="24" xfId="0" applyNumberFormat="1" applyFill="1" applyBorder="1"/>
    <xf numFmtId="3" fontId="0" fillId="2" borderId="14" xfId="0" applyNumberFormat="1" applyFill="1" applyBorder="1" applyAlignment="1">
      <alignment horizontal="center"/>
    </xf>
    <xf numFmtId="3" fontId="2" fillId="2" borderId="23" xfId="0" applyNumberFormat="1" applyFont="1" applyFill="1" applyBorder="1"/>
    <xf numFmtId="3" fontId="0" fillId="13" borderId="1" xfId="0" applyNumberFormat="1" applyFill="1" applyBorder="1"/>
    <xf numFmtId="3" fontId="2" fillId="2" borderId="0" xfId="0" applyNumberFormat="1" applyFont="1" applyFill="1"/>
    <xf numFmtId="3" fontId="0" fillId="2" borderId="1" xfId="0" applyNumberFormat="1" applyFill="1" applyBorder="1"/>
    <xf numFmtId="3" fontId="2" fillId="2" borderId="0" xfId="0" applyNumberFormat="1" applyFont="1" applyFill="1" applyAlignment="1">
      <alignment horizontal="center"/>
    </xf>
    <xf numFmtId="0" fontId="23" fillId="6" borderId="0" xfId="5" applyAlignment="1">
      <alignment horizontal="center"/>
    </xf>
    <xf numFmtId="3" fontId="0" fillId="0" borderId="23" xfId="0" applyNumberFormat="1" applyBorder="1" applyAlignment="1">
      <alignment horizontal="center"/>
    </xf>
    <xf numFmtId="3" fontId="2" fillId="0" borderId="19" xfId="0" applyNumberFormat="1" applyFont="1" applyBorder="1" applyAlignment="1">
      <alignment horizontal="center"/>
    </xf>
    <xf numFmtId="3" fontId="23" fillId="6" borderId="19" xfId="5" applyNumberFormat="1" applyBorder="1"/>
    <xf numFmtId="3" fontId="1" fillId="11" borderId="0" xfId="7" applyNumberFormat="1" applyAlignment="1">
      <alignment horizontal="center"/>
    </xf>
    <xf numFmtId="3" fontId="23" fillId="6" borderId="23" xfId="5" applyNumberFormat="1" applyBorder="1"/>
    <xf numFmtId="3" fontId="0" fillId="0" borderId="0" xfId="0" quotePrefix="1" applyNumberFormat="1" applyAlignment="1">
      <alignment horizontal="center"/>
    </xf>
    <xf numFmtId="3" fontId="24" fillId="0" borderId="0" xfId="0" applyNumberFormat="1" applyFont="1"/>
    <xf numFmtId="3" fontId="1" fillId="11" borderId="19" xfId="7" applyNumberFormat="1" applyBorder="1"/>
    <xf numFmtId="3" fontId="16" fillId="4" borderId="0" xfId="3" applyNumberFormat="1" applyAlignment="1">
      <alignment horizontal="center"/>
    </xf>
    <xf numFmtId="3" fontId="0" fillId="0" borderId="0" xfId="0" applyNumberFormat="1" applyAlignment="1">
      <alignment horizontal="left"/>
    </xf>
    <xf numFmtId="3" fontId="6" fillId="0" borderId="0" xfId="0" applyNumberFormat="1" applyFont="1" applyAlignment="1">
      <alignment horizontal="center"/>
    </xf>
    <xf numFmtId="3" fontId="0" fillId="0" borderId="0" xfId="0" applyNumberFormat="1" applyAlignment="1">
      <alignment horizontal="right"/>
    </xf>
    <xf numFmtId="3" fontId="0" fillId="0" borderId="23" xfId="0" applyNumberFormat="1" applyBorder="1" applyAlignment="1">
      <alignment horizontal="right"/>
    </xf>
    <xf numFmtId="3" fontId="0" fillId="0" borderId="22" xfId="0" applyNumberFormat="1" applyBorder="1" applyAlignment="1">
      <alignment horizontal="right"/>
    </xf>
    <xf numFmtId="3" fontId="0" fillId="0" borderId="26" xfId="0" applyNumberFormat="1" applyBorder="1" applyAlignment="1">
      <alignment horizontal="left"/>
    </xf>
    <xf numFmtId="3" fontId="0" fillId="0" borderId="21" xfId="0" applyNumberFormat="1" applyBorder="1" applyAlignment="1">
      <alignment horizontal="right"/>
    </xf>
    <xf numFmtId="3" fontId="5" fillId="0" borderId="18" xfId="0" applyNumberFormat="1" applyFont="1" applyBorder="1"/>
    <xf numFmtId="3" fontId="15" fillId="0" borderId="0" xfId="0" quotePrefix="1" applyNumberFormat="1" applyFont="1" applyAlignment="1">
      <alignment horizontal="center"/>
    </xf>
    <xf numFmtId="3" fontId="0" fillId="0" borderId="13" xfId="0" applyNumberFormat="1" applyBorder="1"/>
    <xf numFmtId="3" fontId="0" fillId="0" borderId="17" xfId="0" applyNumberFormat="1" applyBorder="1"/>
    <xf numFmtId="3" fontId="5" fillId="0" borderId="0" xfId="0" applyNumberFormat="1" applyFont="1" applyAlignment="1">
      <alignment horizontal="center"/>
    </xf>
    <xf numFmtId="3" fontId="26" fillId="0" borderId="0" xfId="0" applyNumberFormat="1" applyFont="1"/>
    <xf numFmtId="0" fontId="0" fillId="2" borderId="0" xfId="0" applyFill="1" applyAlignment="1" applyProtection="1">
      <alignment horizontal="center"/>
      <protection locked="0"/>
    </xf>
    <xf numFmtId="9" fontId="0" fillId="2" borderId="12" xfId="0" applyNumberFormat="1" applyFill="1" applyBorder="1"/>
    <xf numFmtId="9" fontId="0" fillId="0" borderId="0" xfId="1" applyFont="1" applyAlignment="1">
      <alignment horizontal="left"/>
    </xf>
    <xf numFmtId="166" fontId="23" fillId="6" borderId="0" xfId="5" applyNumberFormat="1" applyAlignment="1">
      <alignment horizontal="left"/>
    </xf>
    <xf numFmtId="3" fontId="1" fillId="11" borderId="0" xfId="7" applyNumberFormat="1"/>
    <xf numFmtId="166" fontId="1" fillId="11" borderId="0" xfId="7" applyNumberFormat="1" applyAlignment="1">
      <alignment horizontal="left"/>
    </xf>
    <xf numFmtId="3" fontId="15" fillId="0" borderId="0" xfId="0" applyNumberFormat="1" applyFont="1" applyAlignment="1">
      <alignment horizontal="center"/>
    </xf>
    <xf numFmtId="3" fontId="1" fillId="7" borderId="0" xfId="6" applyNumberFormat="1"/>
    <xf numFmtId="166" fontId="1" fillId="7" borderId="0" xfId="6" applyNumberFormat="1" applyAlignment="1">
      <alignment horizontal="center"/>
    </xf>
    <xf numFmtId="4" fontId="0" fillId="0" borderId="0" xfId="0" applyNumberFormat="1" applyAlignment="1">
      <alignment horizontal="center"/>
    </xf>
    <xf numFmtId="166" fontId="0" fillId="0" borderId="0" xfId="0" applyNumberFormat="1"/>
    <xf numFmtId="166" fontId="16" fillId="4" borderId="19" xfId="3" applyNumberFormat="1" applyBorder="1"/>
    <xf numFmtId="3" fontId="13" fillId="0" borderId="13" xfId="4" applyNumberFormat="1" applyFont="1" applyFill="1" applyBorder="1"/>
    <xf numFmtId="3" fontId="13" fillId="0" borderId="16" xfId="4" applyNumberFormat="1" applyFont="1" applyFill="1" applyBorder="1"/>
    <xf numFmtId="3" fontId="13" fillId="0" borderId="17" xfId="4" applyNumberFormat="1" applyFont="1" applyFill="1" applyBorder="1"/>
    <xf numFmtId="166" fontId="13" fillId="0" borderId="0" xfId="4" applyNumberFormat="1" applyFont="1" applyFill="1" applyAlignment="1">
      <alignment horizontal="center"/>
    </xf>
    <xf numFmtId="3" fontId="13" fillId="0" borderId="0" xfId="0" applyNumberFormat="1" applyFont="1"/>
    <xf numFmtId="166" fontId="13" fillId="0" borderId="0" xfId="6" applyNumberFormat="1" applyFont="1" applyFill="1" applyAlignment="1">
      <alignment horizontal="center"/>
    </xf>
    <xf numFmtId="9" fontId="0" fillId="0" borderId="0" xfId="0" applyNumberFormat="1" applyProtection="1">
      <protection locked="0"/>
    </xf>
    <xf numFmtId="0" fontId="2" fillId="2" borderId="0" xfId="0" applyFont="1" applyFill="1" applyProtection="1">
      <protection locked="0"/>
    </xf>
    <xf numFmtId="166" fontId="0" fillId="0" borderId="0" xfId="0" applyNumberFormat="1" applyAlignment="1">
      <alignment horizontal="center"/>
    </xf>
    <xf numFmtId="10" fontId="0" fillId="0" borderId="0" xfId="1" applyNumberFormat="1" applyFont="1" applyAlignment="1">
      <alignment horizontal="center"/>
    </xf>
    <xf numFmtId="167" fontId="23" fillId="6" borderId="0" xfId="5" applyNumberFormat="1" applyAlignment="1">
      <alignment horizontal="center"/>
    </xf>
    <xf numFmtId="0" fontId="1" fillId="11" borderId="0" xfId="7" applyAlignment="1">
      <alignment horizontal="center"/>
    </xf>
    <xf numFmtId="167" fontId="1" fillId="11" borderId="0" xfId="7" applyNumberFormat="1" applyAlignment="1">
      <alignment horizontal="center"/>
    </xf>
    <xf numFmtId="167" fontId="0" fillId="0" borderId="0" xfId="0" applyNumberFormat="1" applyAlignment="1">
      <alignment horizontal="center"/>
    </xf>
    <xf numFmtId="167" fontId="16" fillId="4" borderId="0" xfId="3" applyNumberFormat="1" applyAlignment="1">
      <alignment horizontal="center"/>
    </xf>
    <xf numFmtId="3" fontId="13" fillId="2" borderId="17" xfId="0" applyNumberFormat="1" applyFont="1" applyFill="1" applyBorder="1" applyAlignment="1">
      <alignment horizontal="left"/>
    </xf>
    <xf numFmtId="3" fontId="0" fillId="2" borderId="17" xfId="0" applyNumberFormat="1" applyFill="1" applyBorder="1" applyAlignment="1">
      <alignment horizontal="right"/>
    </xf>
    <xf numFmtId="166" fontId="0" fillId="2" borderId="26" xfId="0" applyNumberFormat="1" applyFill="1" applyBorder="1"/>
    <xf numFmtId="166" fontId="0" fillId="2" borderId="12" xfId="0" applyNumberFormat="1" applyFill="1" applyBorder="1"/>
    <xf numFmtId="3" fontId="23" fillId="6" borderId="0" xfId="5" applyNumberFormat="1"/>
    <xf numFmtId="3" fontId="23" fillId="6" borderId="0" xfId="5" applyNumberFormat="1" applyAlignment="1">
      <alignment horizontal="center"/>
    </xf>
    <xf numFmtId="3" fontId="0" fillId="0" borderId="23" xfId="0" quotePrefix="1" applyNumberFormat="1" applyBorder="1" applyAlignment="1">
      <alignment horizontal="center"/>
    </xf>
    <xf numFmtId="166" fontId="1" fillId="11" borderId="0" xfId="7" applyNumberFormat="1" applyAlignment="1">
      <alignment horizontal="center"/>
    </xf>
    <xf numFmtId="3" fontId="16" fillId="4" borderId="0" xfId="3" applyNumberFormat="1"/>
    <xf numFmtId="3" fontId="2" fillId="14" borderId="1" xfId="0" applyNumberFormat="1" applyFont="1" applyFill="1" applyBorder="1" applyAlignment="1">
      <alignment horizontal="center"/>
    </xf>
    <xf numFmtId="3" fontId="0" fillId="14" borderId="18" xfId="0" applyNumberFormat="1" applyFill="1" applyBorder="1" applyAlignment="1">
      <alignment horizontal="center"/>
    </xf>
    <xf numFmtId="3" fontId="0" fillId="14" borderId="19" xfId="0" applyNumberFormat="1" applyFill="1" applyBorder="1" applyAlignment="1">
      <alignment horizontal="left"/>
    </xf>
    <xf numFmtId="3" fontId="0" fillId="14" borderId="19" xfId="0" applyNumberFormat="1" applyFill="1" applyBorder="1" applyAlignment="1">
      <alignment horizontal="center"/>
    </xf>
    <xf numFmtId="3" fontId="0" fillId="14" borderId="20" xfId="0" applyNumberFormat="1" applyFill="1" applyBorder="1" applyAlignment="1">
      <alignment horizontal="center"/>
    </xf>
    <xf numFmtId="3" fontId="0" fillId="14" borderId="22" xfId="0" applyNumberFormat="1" applyFill="1" applyBorder="1" applyAlignment="1">
      <alignment horizontal="center"/>
    </xf>
    <xf numFmtId="3" fontId="0" fillId="14" borderId="23" xfId="0" applyNumberFormat="1" applyFill="1" applyBorder="1" applyAlignment="1">
      <alignment horizontal="left"/>
    </xf>
    <xf numFmtId="3" fontId="0" fillId="14" borderId="23" xfId="0" applyNumberFormat="1" applyFill="1" applyBorder="1" applyAlignment="1">
      <alignment horizontal="center"/>
    </xf>
    <xf numFmtId="3" fontId="0" fillId="14" borderId="12" xfId="0" applyNumberFormat="1" applyFill="1" applyBorder="1" applyAlignment="1">
      <alignment horizontal="center"/>
    </xf>
    <xf numFmtId="166" fontId="16" fillId="4" borderId="0" xfId="3" applyNumberFormat="1" applyAlignment="1">
      <alignment horizontal="center"/>
    </xf>
    <xf numFmtId="164" fontId="1" fillId="7" borderId="0" xfId="6" applyNumberFormat="1" applyAlignment="1">
      <alignment horizontal="center"/>
    </xf>
    <xf numFmtId="3" fontId="0" fillId="12" borderId="0" xfId="8" applyNumberFormat="1" applyFont="1"/>
    <xf numFmtId="3" fontId="1" fillId="12" borderId="0" xfId="8" applyNumberFormat="1"/>
    <xf numFmtId="164" fontId="0" fillId="8" borderId="0" xfId="1" applyNumberFormat="1" applyFont="1" applyFill="1" applyAlignment="1">
      <alignment horizontal="center"/>
    </xf>
    <xf numFmtId="3" fontId="12" fillId="2" borderId="0" xfId="0" applyNumberFormat="1" applyFont="1" applyFill="1"/>
    <xf numFmtId="3" fontId="0" fillId="2" borderId="1" xfId="0" applyNumberFormat="1" applyFill="1" applyBorder="1" applyAlignment="1">
      <alignment horizontal="right"/>
    </xf>
    <xf numFmtId="3" fontId="0" fillId="2" borderId="15" xfId="0" quotePrefix="1" applyNumberFormat="1" applyFill="1" applyBorder="1" applyAlignment="1">
      <alignment horizontal="center"/>
    </xf>
    <xf numFmtId="3" fontId="0" fillId="2" borderId="19" xfId="0" applyNumberFormat="1" applyFill="1" applyBorder="1" applyAlignment="1">
      <alignment horizontal="left"/>
    </xf>
    <xf numFmtId="3" fontId="0" fillId="2" borderId="24" xfId="0" quotePrefix="1" applyNumberFormat="1" applyFill="1" applyBorder="1" applyAlignment="1">
      <alignment horizontal="center"/>
    </xf>
    <xf numFmtId="3" fontId="0" fillId="2" borderId="0" xfId="0" applyNumberFormat="1" applyFill="1" applyAlignment="1">
      <alignment horizontal="left"/>
    </xf>
    <xf numFmtId="3" fontId="0" fillId="2" borderId="14" xfId="0" quotePrefix="1" applyNumberFormat="1" applyFill="1" applyBorder="1" applyAlignment="1">
      <alignment horizontal="center"/>
    </xf>
    <xf numFmtId="0" fontId="0" fillId="2" borderId="14" xfId="0" quotePrefix="1" applyFill="1" applyBorder="1" applyAlignment="1">
      <alignment horizontal="center"/>
    </xf>
    <xf numFmtId="3" fontId="0" fillId="2" borderId="23" xfId="0" applyNumberFormat="1" applyFill="1" applyBorder="1" applyAlignment="1">
      <alignment horizontal="left"/>
    </xf>
    <xf numFmtId="0" fontId="12" fillId="2" borderId="0" xfId="0" applyFont="1" applyFill="1"/>
    <xf numFmtId="0" fontId="2" fillId="2" borderId="0" xfId="0" applyFont="1" applyFill="1"/>
    <xf numFmtId="3" fontId="0" fillId="2" borderId="20" xfId="0" applyNumberFormat="1" applyFill="1" applyBorder="1" applyAlignment="1">
      <alignment horizontal="center"/>
    </xf>
    <xf numFmtId="0" fontId="0" fillId="2" borderId="1" xfId="0" quotePrefix="1" applyFill="1" applyBorder="1" applyAlignment="1">
      <alignment horizontal="center"/>
    </xf>
    <xf numFmtId="0" fontId="0" fillId="2" borderId="17" xfId="0" quotePrefix="1" applyFill="1" applyBorder="1" applyAlignment="1">
      <alignment horizontal="center"/>
    </xf>
    <xf numFmtId="3" fontId="0" fillId="2" borderId="7" xfId="0" applyNumberFormat="1" applyFill="1" applyBorder="1"/>
    <xf numFmtId="3" fontId="0" fillId="2" borderId="27" xfId="0" applyNumberFormat="1" applyFill="1" applyBorder="1" applyAlignment="1">
      <alignment horizontal="center"/>
    </xf>
    <xf numFmtId="3" fontId="0" fillId="2" borderId="28" xfId="0" applyNumberFormat="1" applyFill="1" applyBorder="1" applyAlignment="1">
      <alignment horizontal="center"/>
    </xf>
    <xf numFmtId="3" fontId="0" fillId="2" borderId="29" xfId="0" applyNumberFormat="1" applyFill="1" applyBorder="1" applyAlignment="1">
      <alignment horizontal="center"/>
    </xf>
    <xf numFmtId="3" fontId="0" fillId="2" borderId="28" xfId="0" quotePrefix="1" applyNumberFormat="1" applyFill="1" applyBorder="1" applyAlignment="1">
      <alignment horizontal="center"/>
    </xf>
    <xf numFmtId="0" fontId="0" fillId="2" borderId="30" xfId="0" applyFill="1" applyBorder="1" applyAlignment="1">
      <alignment horizontal="center"/>
    </xf>
    <xf numFmtId="0" fontId="0" fillId="2" borderId="0" xfId="0" applyFill="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0" fillId="2" borderId="21" xfId="0" applyFill="1" applyBorder="1" applyAlignment="1">
      <alignment horizontal="left"/>
    </xf>
    <xf numFmtId="0" fontId="0" fillId="2" borderId="26" xfId="0" applyFill="1" applyBorder="1" applyAlignment="1">
      <alignment horizontal="center"/>
    </xf>
    <xf numFmtId="0" fontId="0" fillId="2" borderId="22" xfId="0" applyFill="1" applyBorder="1" applyAlignment="1">
      <alignment horizontal="left"/>
    </xf>
    <xf numFmtId="0" fontId="0" fillId="2" borderId="23" xfId="0" applyFill="1" applyBorder="1" applyAlignment="1">
      <alignment horizontal="left"/>
    </xf>
    <xf numFmtId="0" fontId="0" fillId="2" borderId="1" xfId="0" applyFill="1" applyBorder="1" applyAlignment="1" applyProtection="1">
      <alignment horizontal="center"/>
      <protection locked="0"/>
    </xf>
    <xf numFmtId="0" fontId="16" fillId="4" borderId="0" xfId="3" applyProtection="1">
      <protection locked="0"/>
    </xf>
    <xf numFmtId="0" fontId="16" fillId="4" borderId="0" xfId="3" applyAlignment="1">
      <alignment horizontal="center"/>
    </xf>
    <xf numFmtId="0" fontId="15" fillId="0" borderId="0" xfId="0" applyFont="1" applyAlignment="1">
      <alignment horizontal="center"/>
    </xf>
    <xf numFmtId="3" fontId="39" fillId="0" borderId="0" xfId="0" applyNumberFormat="1" applyFont="1" applyAlignment="1">
      <alignment horizontal="center"/>
    </xf>
    <xf numFmtId="0" fontId="39" fillId="0" borderId="0" xfId="0" applyFont="1" applyAlignment="1">
      <alignment horizontal="center"/>
    </xf>
    <xf numFmtId="3" fontId="0" fillId="0" borderId="1" xfId="0" applyNumberFormat="1" applyBorder="1"/>
    <xf numFmtId="0" fontId="0" fillId="0" borderId="0" xfId="0" applyAlignment="1">
      <alignment horizontal="left"/>
    </xf>
    <xf numFmtId="0" fontId="26" fillId="0" borderId="0" xfId="0" applyFont="1" applyAlignment="1">
      <alignment horizontal="left"/>
    </xf>
    <xf numFmtId="0" fontId="0" fillId="0" borderId="0" xfId="0" quotePrefix="1" applyAlignment="1">
      <alignment horizontal="center"/>
    </xf>
    <xf numFmtId="0" fontId="26" fillId="0" borderId="0" xfId="0" applyFont="1"/>
    <xf numFmtId="1" fontId="0" fillId="2" borderId="0" xfId="0" applyNumberFormat="1" applyFill="1" applyAlignment="1">
      <alignment horizontal="center"/>
    </xf>
    <xf numFmtId="3" fontId="15" fillId="2" borderId="17" xfId="0" applyNumberFormat="1" applyFont="1" applyFill="1" applyBorder="1" applyAlignment="1">
      <alignment horizontal="right"/>
    </xf>
    <xf numFmtId="3" fontId="2" fillId="2" borderId="1" xfId="0" applyNumberFormat="1" applyFont="1" applyFill="1" applyBorder="1"/>
    <xf numFmtId="10" fontId="0" fillId="0" borderId="0" xfId="0" applyNumberFormat="1"/>
    <xf numFmtId="0" fontId="16" fillId="4" borderId="0" xfId="3"/>
    <xf numFmtId="0" fontId="16" fillId="4" borderId="23" xfId="3" applyBorder="1" applyAlignment="1">
      <alignment horizontal="center"/>
    </xf>
    <xf numFmtId="0" fontId="16" fillId="4" borderId="23" xfId="3" applyBorder="1"/>
    <xf numFmtId="0" fontId="0" fillId="0" borderId="0" xfId="0" applyAlignment="1">
      <alignment horizontal="left" vertical="center" indent="1"/>
    </xf>
    <xf numFmtId="0" fontId="2" fillId="0" borderId="0" xfId="0" applyFont="1"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3" fontId="0" fillId="0" borderId="0" xfId="0" applyNumberFormat="1" applyAlignment="1">
      <alignment vertical="center" wrapText="1"/>
    </xf>
    <xf numFmtId="0" fontId="2" fillId="0" borderId="0" xfId="0" applyFont="1" applyAlignment="1">
      <alignment vertical="center" wrapText="1"/>
    </xf>
    <xf numFmtId="4" fontId="2" fillId="0" borderId="0" xfId="0" applyNumberFormat="1" applyFont="1" applyAlignment="1">
      <alignment vertical="center" wrapText="1"/>
    </xf>
    <xf numFmtId="0" fontId="0" fillId="2" borderId="8" xfId="0" applyFill="1" applyBorder="1" applyAlignment="1">
      <alignment horizontal="center"/>
    </xf>
    <xf numFmtId="10" fontId="0" fillId="2" borderId="0" xfId="0" applyNumberFormat="1" applyFill="1"/>
    <xf numFmtId="3" fontId="2" fillId="0" borderId="0" xfId="0" applyNumberFormat="1" applyFont="1" applyAlignment="1">
      <alignment vertical="center" wrapText="1"/>
    </xf>
    <xf numFmtId="0" fontId="45" fillId="0" borderId="0" xfId="0" applyFont="1" applyAlignment="1">
      <alignment vertical="center"/>
    </xf>
    <xf numFmtId="165" fontId="0" fillId="0" borderId="0" xfId="0" applyNumberFormat="1" applyAlignment="1">
      <alignment vertical="center" wrapText="1"/>
    </xf>
    <xf numFmtId="9" fontId="0" fillId="0" borderId="0" xfId="0" applyNumberFormat="1"/>
    <xf numFmtId="0" fontId="47" fillId="0" borderId="0" xfId="0" applyFont="1" applyAlignment="1">
      <alignment vertical="center"/>
    </xf>
    <xf numFmtId="0" fontId="0" fillId="0" borderId="0" xfId="0" quotePrefix="1"/>
    <xf numFmtId="0" fontId="46" fillId="0" borderId="0" xfId="0" applyFont="1" applyAlignment="1">
      <alignment vertical="center"/>
    </xf>
    <xf numFmtId="0" fontId="2" fillId="2" borderId="0" xfId="0" applyFont="1" applyFill="1" applyAlignment="1">
      <alignment horizontal="center" wrapText="1"/>
    </xf>
    <xf numFmtId="0" fontId="0" fillId="0" borderId="0" xfId="0" applyAlignment="1">
      <alignment vertical="center"/>
    </xf>
    <xf numFmtId="0" fontId="0" fillId="2" borderId="0" xfId="0" applyFill="1" applyAlignment="1">
      <alignment wrapText="1"/>
    </xf>
    <xf numFmtId="0" fontId="2" fillId="2" borderId="0" xfId="0" applyFont="1" applyFill="1" applyAlignment="1" applyProtection="1">
      <alignment horizontal="center" wrapText="1"/>
      <protection locked="0"/>
    </xf>
    <xf numFmtId="2" fontId="0" fillId="2" borderId="0" xfId="0" applyNumberFormat="1" applyFill="1"/>
    <xf numFmtId="3" fontId="2" fillId="0" borderId="0" xfId="0" applyNumberFormat="1" applyFont="1"/>
    <xf numFmtId="0" fontId="2" fillId="2" borderId="0" xfId="0" applyFont="1" applyFill="1" applyAlignment="1" applyProtection="1">
      <alignment horizontal="center" vertical="center" wrapText="1"/>
      <protection locked="0"/>
    </xf>
    <xf numFmtId="0" fontId="2" fillId="2" borderId="0" xfId="0" applyFont="1" applyFill="1" applyAlignment="1">
      <alignment horizontal="center" vertical="center" wrapText="1"/>
    </xf>
    <xf numFmtId="0" fontId="2" fillId="0" borderId="0" xfId="0" applyFont="1" applyAlignment="1">
      <alignment horizontal="left" vertical="center" indent="1"/>
    </xf>
    <xf numFmtId="9" fontId="0" fillId="2" borderId="0" xfId="0" applyNumberFormat="1" applyFill="1"/>
    <xf numFmtId="0" fontId="0" fillId="0" borderId="0" xfId="0" applyAlignment="1">
      <alignment horizontal="left" vertical="center" indent="2"/>
    </xf>
    <xf numFmtId="0" fontId="2" fillId="0" borderId="0" xfId="0" applyFont="1" applyAlignment="1">
      <alignment vertical="center"/>
    </xf>
    <xf numFmtId="0" fontId="2" fillId="0" borderId="0" xfId="0" applyFont="1" applyAlignment="1">
      <alignment horizontal="center" wrapText="1"/>
    </xf>
    <xf numFmtId="0" fontId="8" fillId="2" borderId="4" xfId="2" quotePrefix="1" applyFill="1" applyBorder="1" applyAlignment="1" applyProtection="1">
      <alignment horizontal="right"/>
    </xf>
    <xf numFmtId="0" fontId="8" fillId="0" borderId="5" xfId="2" applyBorder="1" applyAlignment="1">
      <alignment horizontal="right"/>
    </xf>
    <xf numFmtId="0" fontId="8" fillId="0" borderId="5" xfId="2" applyBorder="1" applyAlignment="1"/>
  </cellXfs>
  <cellStyles count="9">
    <cellStyle name="40% - Accent1" xfId="7" builtinId="31"/>
    <cellStyle name="40% - Accent2" xfId="6" builtinId="35"/>
    <cellStyle name="40% - Accent3" xfId="8" builtinId="39"/>
    <cellStyle name="Bad" xfId="4" builtinId="27"/>
    <cellStyle name="Good" xfId="3" builtinId="26"/>
    <cellStyle name="Hyperlink" xfId="2" builtinId="8"/>
    <cellStyle name="Neutral" xfId="5" builtinId="28"/>
    <cellStyle name="Normal" xfId="0" builtinId="0"/>
    <cellStyle name="Percent" xfId="1" builtinId="5"/>
  </cellStyles>
  <dxfs count="113">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390525</xdr:colOff>
      <xdr:row>0</xdr:row>
      <xdr:rowOff>0</xdr:rowOff>
    </xdr:from>
    <xdr:to>
      <xdr:col>9</xdr:col>
      <xdr:colOff>111972</xdr:colOff>
      <xdr:row>4</xdr:row>
      <xdr:rowOff>32174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9325" y="0"/>
          <a:ext cx="3379047" cy="794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189230</xdr:colOff>
      <xdr:row>4</xdr:row>
      <xdr:rowOff>8044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5660" cy="750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6:M30"/>
  <sheetViews>
    <sheetView workbookViewId="0">
      <selection activeCell="A7" sqref="A7"/>
    </sheetView>
  </sheetViews>
  <sheetFormatPr defaultRowHeight="15" x14ac:dyDescent="0.25"/>
  <cols>
    <col min="12" max="12" width="7" customWidth="1"/>
    <col min="13" max="13" width="12.42578125" customWidth="1"/>
  </cols>
  <sheetData>
    <row r="6" spans="1:13" ht="21" x14ac:dyDescent="0.35">
      <c r="A6" s="16" t="s">
        <v>15</v>
      </c>
      <c r="B6" s="16"/>
      <c r="C6" s="16"/>
      <c r="D6" s="16"/>
      <c r="E6" s="16"/>
      <c r="F6" s="16"/>
      <c r="G6" s="16"/>
      <c r="H6" s="16"/>
      <c r="I6" s="16"/>
      <c r="J6" s="16"/>
      <c r="K6" s="16"/>
      <c r="L6" s="16"/>
      <c r="M6" s="16"/>
    </row>
    <row r="8" spans="1:13" x14ac:dyDescent="0.25">
      <c r="A8" t="s">
        <v>16</v>
      </c>
    </row>
    <row r="10" spans="1:13" x14ac:dyDescent="0.25">
      <c r="A10" t="s">
        <v>17</v>
      </c>
    </row>
    <row r="12" spans="1:13" x14ac:dyDescent="0.25">
      <c r="A12" t="s">
        <v>18</v>
      </c>
    </row>
    <row r="14" spans="1:13" x14ac:dyDescent="0.25">
      <c r="A14" t="s">
        <v>19</v>
      </c>
    </row>
    <row r="15" spans="1:13" x14ac:dyDescent="0.25">
      <c r="A15" t="s">
        <v>20</v>
      </c>
    </row>
    <row r="17" spans="1:13" x14ac:dyDescent="0.25">
      <c r="A17" t="s">
        <v>21</v>
      </c>
    </row>
    <row r="18" spans="1:13" x14ac:dyDescent="0.25">
      <c r="A18" t="s">
        <v>26</v>
      </c>
    </row>
    <row r="19" spans="1:13" x14ac:dyDescent="0.25">
      <c r="A19" t="s">
        <v>27</v>
      </c>
    </row>
    <row r="20" spans="1:13" ht="15.75" thickBot="1" x14ac:dyDescent="0.3"/>
    <row r="21" spans="1:13" ht="15.75" thickBot="1" x14ac:dyDescent="0.3">
      <c r="A21" t="s">
        <v>25</v>
      </c>
      <c r="M21" s="5"/>
    </row>
    <row r="23" spans="1:13" x14ac:dyDescent="0.25">
      <c r="A23" t="s">
        <v>22</v>
      </c>
    </row>
    <row r="25" spans="1:13" x14ac:dyDescent="0.25">
      <c r="A25" t="s">
        <v>23</v>
      </c>
    </row>
    <row r="26" spans="1:13" x14ac:dyDescent="0.25">
      <c r="A26" t="s">
        <v>24</v>
      </c>
    </row>
    <row r="27" spans="1:13" x14ac:dyDescent="0.25">
      <c r="B27" s="12"/>
      <c r="C27" s="12"/>
      <c r="D27" s="12"/>
      <c r="E27" s="12"/>
      <c r="F27" s="12"/>
      <c r="G27" s="12"/>
      <c r="H27" s="12"/>
      <c r="I27" s="12"/>
      <c r="J27" s="12"/>
      <c r="K27" s="12"/>
      <c r="L27" s="12"/>
      <c r="M27" s="12"/>
    </row>
    <row r="28" spans="1:13" x14ac:dyDescent="0.25">
      <c r="A28" t="s">
        <v>29</v>
      </c>
    </row>
    <row r="30" spans="1:13" ht="15.75" x14ac:dyDescent="0.25">
      <c r="A30" s="17" t="s">
        <v>28</v>
      </c>
      <c r="B30" s="12"/>
      <c r="C30" s="12"/>
      <c r="D30" s="12"/>
      <c r="E30" s="12"/>
      <c r="F30" s="12"/>
      <c r="G30" s="12"/>
      <c r="H30" s="12"/>
      <c r="I30" s="12"/>
      <c r="J30" s="12"/>
      <c r="K30" s="12"/>
      <c r="L30" s="12"/>
      <c r="M30" s="1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31"/>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3" x14ac:dyDescent="0.25">
      <c r="A1" s="7">
        <v>8</v>
      </c>
      <c r="B1" s="41" t="s">
        <v>12</v>
      </c>
      <c r="C1" s="28"/>
      <c r="D1" s="28"/>
      <c r="E1" s="28"/>
      <c r="F1" s="28"/>
      <c r="G1" s="28"/>
      <c r="H1" s="388" t="s">
        <v>30</v>
      </c>
      <c r="I1" s="390"/>
      <c r="K1" s="29" t="s">
        <v>54</v>
      </c>
      <c r="L1" s="70" t="s">
        <v>870</v>
      </c>
    </row>
    <row r="2" spans="1:13" x14ac:dyDescent="0.25">
      <c r="A2" s="30"/>
      <c r="B2" s="27"/>
      <c r="C2" s="27"/>
      <c r="D2" s="27"/>
      <c r="E2" s="27"/>
      <c r="F2" s="27"/>
      <c r="G2" s="27"/>
      <c r="H2" s="27"/>
      <c r="I2" s="31"/>
    </row>
    <row r="3" spans="1:13" x14ac:dyDescent="0.25">
      <c r="A3" s="8" t="s">
        <v>13</v>
      </c>
      <c r="B3" s="27"/>
      <c r="C3" s="27"/>
      <c r="D3" s="27"/>
      <c r="E3" s="27"/>
      <c r="F3" s="27"/>
      <c r="G3" s="27"/>
      <c r="H3" s="27"/>
      <c r="I3" s="31"/>
    </row>
    <row r="4" spans="1:13" x14ac:dyDescent="0.25">
      <c r="A4" s="9">
        <f>INDEX('Point Grid'!B:B,MATCH($A$1,'Point Grid'!A:A,0))</f>
        <v>2.25</v>
      </c>
      <c r="B4" s="27"/>
      <c r="C4" s="27"/>
      <c r="D4" s="27"/>
      <c r="E4" s="27"/>
      <c r="F4" s="27"/>
      <c r="G4" s="27"/>
      <c r="H4" s="27"/>
      <c r="I4" s="31"/>
      <c r="K4" s="57" t="s">
        <v>2</v>
      </c>
      <c r="L4" s="29" t="s">
        <v>812</v>
      </c>
    </row>
    <row r="5" spans="1:13" x14ac:dyDescent="0.25">
      <c r="A5" s="30"/>
      <c r="B5" s="27"/>
      <c r="C5" s="27"/>
      <c r="D5" s="27"/>
      <c r="E5" s="27"/>
      <c r="F5" s="27"/>
      <c r="G5" s="27"/>
      <c r="H5" s="27"/>
      <c r="I5" s="31"/>
      <c r="L5" s="59" t="s">
        <v>813</v>
      </c>
      <c r="M5" s="29" t="s">
        <v>814</v>
      </c>
    </row>
    <row r="6" spans="1:13" x14ac:dyDescent="0.25">
      <c r="A6" s="35" t="s">
        <v>2</v>
      </c>
      <c r="B6" s="27" t="s">
        <v>803</v>
      </c>
      <c r="C6" s="27"/>
      <c r="D6" s="27"/>
      <c r="E6" s="27"/>
      <c r="F6" s="27"/>
      <c r="G6" s="27"/>
      <c r="H6" s="27"/>
      <c r="I6" s="31"/>
      <c r="L6" s="59" t="s">
        <v>813</v>
      </c>
      <c r="M6" s="29" t="s">
        <v>815</v>
      </c>
    </row>
    <row r="7" spans="1:13" ht="15.75" thickBot="1" x14ac:dyDescent="0.3">
      <c r="A7" s="9">
        <f>INDEX('Point Grid'!$C$8:$I$35,MATCH($A$1,'Point Grid'!$A$8:$A$35,0),MATCH(A6,'Point Grid'!$C$7:$I$7,0))</f>
        <v>1.25</v>
      </c>
      <c r="B7" s="27" t="s">
        <v>804</v>
      </c>
      <c r="C7" s="27"/>
      <c r="D7" s="27"/>
      <c r="E7" s="27"/>
      <c r="F7" s="27"/>
      <c r="G7" s="27"/>
      <c r="H7" s="27"/>
      <c r="I7" s="31"/>
    </row>
    <row r="8" spans="1:13" ht="15.75" thickBot="1" x14ac:dyDescent="0.3">
      <c r="A8" s="5"/>
      <c r="B8" s="27" t="s">
        <v>805</v>
      </c>
      <c r="C8" s="27"/>
      <c r="D8" s="27"/>
      <c r="E8" s="27"/>
      <c r="F8" s="27"/>
      <c r="G8" s="27"/>
      <c r="H8" s="27"/>
      <c r="I8" s="31"/>
      <c r="L8" s="58" t="s">
        <v>816</v>
      </c>
    </row>
    <row r="9" spans="1:13" x14ac:dyDescent="0.25">
      <c r="A9" s="36"/>
      <c r="B9" s="27"/>
      <c r="C9" s="27"/>
      <c r="D9" s="27"/>
      <c r="E9" s="27"/>
      <c r="F9" s="27"/>
      <c r="G9" s="27"/>
      <c r="H9" s="27"/>
      <c r="I9" s="31"/>
    </row>
    <row r="10" spans="1:13" x14ac:dyDescent="0.25">
      <c r="A10" s="36"/>
      <c r="B10" s="27" t="s">
        <v>806</v>
      </c>
      <c r="C10" s="27"/>
      <c r="D10" s="27"/>
      <c r="E10" s="27"/>
      <c r="F10" s="27"/>
      <c r="G10" s="27"/>
      <c r="H10" s="27"/>
      <c r="I10" s="31"/>
      <c r="L10" s="29" t="s">
        <v>807</v>
      </c>
    </row>
    <row r="11" spans="1:13" x14ac:dyDescent="0.25">
      <c r="A11" s="36"/>
      <c r="B11" s="27"/>
      <c r="C11" s="27"/>
      <c r="D11" s="27"/>
      <c r="E11" s="27"/>
      <c r="F11" s="27"/>
      <c r="G11" s="27"/>
      <c r="H11" s="27"/>
      <c r="I11" s="31"/>
      <c r="L11" s="29" t="s">
        <v>809</v>
      </c>
    </row>
    <row r="12" spans="1:13" x14ac:dyDescent="0.25">
      <c r="A12" s="36"/>
      <c r="B12" s="27"/>
      <c r="C12" s="27"/>
      <c r="D12" s="27"/>
      <c r="E12" s="27"/>
      <c r="F12" s="27"/>
      <c r="G12" s="27"/>
      <c r="H12" s="27"/>
      <c r="I12" s="31"/>
      <c r="K12" s="57"/>
      <c r="L12" s="29" t="s">
        <v>810</v>
      </c>
    </row>
    <row r="13" spans="1:13" x14ac:dyDescent="0.25">
      <c r="A13" s="36"/>
      <c r="B13" s="27"/>
      <c r="C13" s="27"/>
      <c r="D13" s="27"/>
      <c r="E13" s="27"/>
      <c r="F13" s="27"/>
      <c r="G13" s="27"/>
      <c r="H13" s="27"/>
      <c r="I13" s="31"/>
      <c r="L13" s="29" t="s">
        <v>808</v>
      </c>
    </row>
    <row r="14" spans="1:13" x14ac:dyDescent="0.25">
      <c r="A14" s="35" t="s">
        <v>3</v>
      </c>
      <c r="B14" s="27" t="s">
        <v>817</v>
      </c>
      <c r="C14" s="27"/>
      <c r="D14" s="27"/>
      <c r="E14" s="27"/>
      <c r="F14" s="27"/>
      <c r="G14" s="27"/>
      <c r="H14" s="27"/>
      <c r="I14" s="31"/>
      <c r="L14" s="29" t="s">
        <v>811</v>
      </c>
    </row>
    <row r="15" spans="1:13" ht="15.75" thickBot="1" x14ac:dyDescent="0.3">
      <c r="A15" s="9">
        <f>INDEX('Point Grid'!$C$8:$I$35,MATCH($A$1,'Point Grid'!$A$8:$A$35,0),MATCH(A14,'Point Grid'!$C$7:$I$7,0))</f>
        <v>1</v>
      </c>
      <c r="B15" s="27"/>
      <c r="C15" s="27"/>
      <c r="D15" s="27"/>
      <c r="E15" s="27"/>
      <c r="F15" s="27"/>
      <c r="G15" s="27"/>
      <c r="H15" s="27"/>
      <c r="I15" s="31"/>
    </row>
    <row r="16" spans="1:13" ht="15.75" thickBot="1" x14ac:dyDescent="0.3">
      <c r="A16" s="5"/>
      <c r="B16" s="27"/>
      <c r="C16" s="27"/>
      <c r="D16" s="27"/>
      <c r="E16" s="27"/>
      <c r="F16" s="27"/>
      <c r="G16" s="27"/>
      <c r="H16" s="27"/>
      <c r="I16" s="31"/>
      <c r="K16" s="57"/>
    </row>
    <row r="17" spans="1:12" x14ac:dyDescent="0.25">
      <c r="A17" s="27"/>
      <c r="B17" s="27"/>
      <c r="C17" s="27"/>
      <c r="D17" s="27"/>
      <c r="E17" s="27"/>
      <c r="F17" s="27"/>
      <c r="G17" s="27"/>
      <c r="H17" s="27"/>
      <c r="I17" s="31"/>
      <c r="K17" s="57" t="s">
        <v>3</v>
      </c>
      <c r="L17" s="29" t="s">
        <v>826</v>
      </c>
    </row>
    <row r="18" spans="1:12" ht="15.75" thickBot="1" x14ac:dyDescent="0.3">
      <c r="A18" s="32"/>
      <c r="B18" s="33"/>
      <c r="C18" s="33"/>
      <c r="D18" s="33"/>
      <c r="E18" s="33"/>
      <c r="F18" s="33"/>
      <c r="G18" s="33"/>
      <c r="H18" s="33"/>
      <c r="I18" s="34"/>
      <c r="L18" s="29" t="s">
        <v>827</v>
      </c>
    </row>
    <row r="19" spans="1:12" x14ac:dyDescent="0.25">
      <c r="L19" s="29" t="s">
        <v>828</v>
      </c>
    </row>
    <row r="21" spans="1:12" x14ac:dyDescent="0.25">
      <c r="L21" s="58" t="s">
        <v>818</v>
      </c>
    </row>
    <row r="23" spans="1:12" x14ac:dyDescent="0.25">
      <c r="L23" s="29" t="s">
        <v>819</v>
      </c>
    </row>
    <row r="24" spans="1:12" x14ac:dyDescent="0.25">
      <c r="L24" s="29" t="s">
        <v>820</v>
      </c>
    </row>
    <row r="26" spans="1:12" x14ac:dyDescent="0.25">
      <c r="L26" s="29" t="s">
        <v>821</v>
      </c>
    </row>
    <row r="28" spans="1:12" x14ac:dyDescent="0.25">
      <c r="L28" s="29" t="s">
        <v>822</v>
      </c>
    </row>
    <row r="29" spans="1:12" x14ac:dyDescent="0.25">
      <c r="L29" s="29" t="s">
        <v>823</v>
      </c>
    </row>
    <row r="30" spans="1:12" x14ac:dyDescent="0.25">
      <c r="L30" s="29" t="s">
        <v>824</v>
      </c>
    </row>
    <row r="31" spans="1:12" x14ac:dyDescent="0.25">
      <c r="L31" s="29" t="s">
        <v>825</v>
      </c>
    </row>
  </sheetData>
  <mergeCells count="1">
    <mergeCell ref="H1:I1"/>
  </mergeCells>
  <conditionalFormatting sqref="B1">
    <cfRule type="cellIs" dxfId="79" priority="1" operator="equal">
      <formula>"Incomplete"</formula>
    </cfRule>
    <cfRule type="cellIs" dxfId="78" priority="2" operator="equal">
      <formula>"Flag for Review"</formula>
    </cfRule>
    <cfRule type="cellIs" dxfId="77"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A85"/>
  <sheetViews>
    <sheetView workbookViewId="0"/>
  </sheetViews>
  <sheetFormatPr defaultColWidth="9.140625" defaultRowHeight="15" x14ac:dyDescent="0.25"/>
  <cols>
    <col min="1" max="1" width="7.7109375" style="29" customWidth="1"/>
    <col min="2" max="2" width="16.7109375" style="29" customWidth="1"/>
    <col min="3" max="3" width="9.5703125" style="29" customWidth="1"/>
    <col min="4" max="12" width="9.42578125" style="29" customWidth="1"/>
    <col min="13" max="20" width="9.140625" style="29"/>
    <col min="21" max="21" width="11.5703125" style="29" bestFit="1" customWidth="1"/>
    <col min="22" max="16384" width="9.140625" style="29"/>
  </cols>
  <sheetData>
    <row r="1" spans="1:27" x14ac:dyDescent="0.25">
      <c r="A1" s="7">
        <v>9</v>
      </c>
      <c r="B1" s="41" t="s">
        <v>12</v>
      </c>
      <c r="C1" s="28"/>
      <c r="D1" s="27"/>
      <c r="E1" s="27"/>
      <c r="F1" s="27"/>
      <c r="G1" s="27"/>
      <c r="H1" s="27"/>
      <c r="I1" s="27"/>
      <c r="J1" s="27"/>
      <c r="K1" s="27"/>
      <c r="L1" s="27"/>
      <c r="M1" s="27"/>
      <c r="N1" s="27"/>
      <c r="O1" s="388" t="s">
        <v>30</v>
      </c>
      <c r="P1" s="390"/>
      <c r="R1" s="29" t="s">
        <v>54</v>
      </c>
      <c r="S1" s="70" t="s">
        <v>871</v>
      </c>
    </row>
    <row r="2" spans="1:27" ht="21" customHeight="1" x14ac:dyDescent="0.25">
      <c r="A2" s="30"/>
      <c r="B2" s="27"/>
      <c r="C2" s="27"/>
      <c r="D2" s="27"/>
      <c r="E2" s="27"/>
      <c r="F2" s="27"/>
      <c r="G2" s="27"/>
      <c r="H2" s="27"/>
      <c r="I2" s="27"/>
      <c r="J2" s="27"/>
      <c r="K2" s="27"/>
      <c r="L2" s="27"/>
      <c r="M2" s="27"/>
      <c r="N2" s="27"/>
      <c r="O2" s="27"/>
      <c r="P2" s="31"/>
      <c r="Q2"/>
      <c r="R2"/>
      <c r="S2"/>
      <c r="T2"/>
      <c r="U2"/>
      <c r="V2"/>
      <c r="W2"/>
      <c r="X2"/>
      <c r="Y2"/>
      <c r="Z2"/>
      <c r="AA2"/>
    </row>
    <row r="3" spans="1:27" ht="15.75" customHeight="1" x14ac:dyDescent="0.25">
      <c r="A3" s="8" t="s">
        <v>13</v>
      </c>
      <c r="B3" s="27"/>
      <c r="C3" s="27"/>
      <c r="D3" s="27"/>
      <c r="E3" s="27"/>
      <c r="F3" s="27"/>
      <c r="G3" s="27"/>
      <c r="H3" s="27"/>
      <c r="I3" s="27"/>
      <c r="J3" s="27"/>
      <c r="K3" s="27"/>
      <c r="L3" s="27"/>
      <c r="M3" s="27"/>
      <c r="N3" s="27"/>
      <c r="O3" s="27"/>
      <c r="P3" s="31"/>
      <c r="Q3"/>
      <c r="R3" s="1" t="s">
        <v>916</v>
      </c>
      <c r="S3"/>
      <c r="T3"/>
      <c r="U3"/>
      <c r="V3"/>
      <c r="W3"/>
      <c r="X3"/>
      <c r="Y3"/>
      <c r="Z3"/>
      <c r="AA3"/>
    </row>
    <row r="4" spans="1:27" ht="12" customHeight="1" x14ac:dyDescent="0.25">
      <c r="A4" s="9">
        <f>INDEX('Point Grid'!B:B,MATCH($A$1,'Point Grid'!A:A,0))</f>
        <v>1.75</v>
      </c>
      <c r="B4" s="27"/>
      <c r="C4" s="27"/>
      <c r="D4" s="27"/>
      <c r="E4" s="27"/>
      <c r="F4" s="27"/>
      <c r="G4" s="27"/>
      <c r="H4" s="27"/>
      <c r="I4" s="27"/>
      <c r="J4" s="27"/>
      <c r="K4" s="27"/>
      <c r="L4" s="27"/>
      <c r="M4" s="27"/>
      <c r="N4" s="27"/>
      <c r="O4" s="27"/>
      <c r="P4" s="31"/>
      <c r="Q4"/>
      <c r="R4"/>
      <c r="S4"/>
      <c r="T4"/>
      <c r="U4"/>
      <c r="V4"/>
      <c r="W4"/>
      <c r="X4"/>
      <c r="Y4"/>
      <c r="Z4"/>
      <c r="AA4"/>
    </row>
    <row r="5" spans="1:27" ht="14.25" customHeight="1" x14ac:dyDescent="0.25">
      <c r="A5" s="36"/>
      <c r="B5" s="27"/>
      <c r="C5" s="27"/>
      <c r="D5" s="27"/>
      <c r="E5" s="27"/>
      <c r="F5" s="27"/>
      <c r="G5" s="27"/>
      <c r="H5" s="27"/>
      <c r="I5" s="27"/>
      <c r="J5" s="27"/>
      <c r="K5" s="27"/>
      <c r="L5" s="27"/>
      <c r="M5" s="27"/>
      <c r="N5" s="27"/>
      <c r="O5" s="27"/>
      <c r="P5" s="31"/>
      <c r="Q5"/>
      <c r="R5" t="s">
        <v>917</v>
      </c>
      <c r="S5"/>
      <c r="T5"/>
      <c r="U5"/>
      <c r="V5"/>
      <c r="W5"/>
      <c r="X5"/>
      <c r="Y5"/>
      <c r="Z5"/>
      <c r="AA5"/>
    </row>
    <row r="6" spans="1:27" x14ac:dyDescent="0.25">
      <c r="A6" s="36" t="s">
        <v>936</v>
      </c>
      <c r="B6" s="27"/>
      <c r="C6" s="27"/>
      <c r="D6" s="27"/>
      <c r="E6" s="27"/>
      <c r="F6" s="27"/>
      <c r="G6" s="27"/>
      <c r="H6" s="27"/>
      <c r="I6" s="27"/>
      <c r="J6" s="27"/>
      <c r="K6" s="27"/>
      <c r="L6" s="27"/>
      <c r="M6" s="27"/>
      <c r="N6" s="27"/>
      <c r="O6" s="27"/>
      <c r="P6" s="31"/>
      <c r="Q6"/>
      <c r="R6"/>
      <c r="S6"/>
      <c r="T6"/>
      <c r="U6"/>
      <c r="V6"/>
      <c r="W6"/>
      <c r="X6"/>
      <c r="Y6"/>
      <c r="Z6"/>
      <c r="AA6"/>
    </row>
    <row r="7" spans="1:27" x14ac:dyDescent="0.25">
      <c r="A7" s="36" t="s">
        <v>935</v>
      </c>
      <c r="B7" s="27"/>
      <c r="C7" s="27"/>
      <c r="D7" s="27"/>
      <c r="E7" s="27"/>
      <c r="F7" s="27"/>
      <c r="G7" s="27"/>
      <c r="H7" s="27"/>
      <c r="I7" s="27"/>
      <c r="J7" s="27"/>
      <c r="K7" s="27"/>
      <c r="L7" s="27"/>
      <c r="M7" s="27"/>
      <c r="N7" s="27"/>
      <c r="O7" s="27"/>
      <c r="P7" s="31"/>
      <c r="Q7"/>
      <c r="R7" t="s">
        <v>918</v>
      </c>
      <c r="S7"/>
      <c r="T7"/>
      <c r="U7"/>
      <c r="V7"/>
      <c r="W7"/>
      <c r="X7"/>
      <c r="Y7"/>
      <c r="Z7"/>
      <c r="AA7"/>
    </row>
    <row r="8" spans="1:27" x14ac:dyDescent="0.25">
      <c r="A8" s="36"/>
      <c r="B8" s="27"/>
      <c r="C8" s="27"/>
      <c r="D8" s="27"/>
      <c r="E8" s="27"/>
      <c r="F8" s="27"/>
      <c r="G8" s="27"/>
      <c r="H8" s="27"/>
      <c r="I8" s="27"/>
      <c r="J8" s="27"/>
      <c r="K8" s="27"/>
      <c r="L8" s="27"/>
      <c r="M8" s="27"/>
      <c r="N8" s="27"/>
      <c r="O8" s="27"/>
      <c r="P8" s="31"/>
      <c r="Q8"/>
      <c r="R8"/>
      <c r="S8"/>
      <c r="T8"/>
      <c r="U8"/>
      <c r="V8"/>
      <c r="W8"/>
      <c r="X8"/>
      <c r="Y8"/>
      <c r="Z8"/>
      <c r="AA8"/>
    </row>
    <row r="9" spans="1:27" ht="30" x14ac:dyDescent="0.25">
      <c r="A9" s="324" t="s">
        <v>902</v>
      </c>
      <c r="B9" s="27"/>
      <c r="C9" s="27"/>
      <c r="D9" s="27"/>
      <c r="E9" s="27"/>
      <c r="F9" s="27"/>
      <c r="G9" s="27"/>
      <c r="H9" s="27"/>
      <c r="I9" s="27"/>
      <c r="J9" s="27"/>
      <c r="K9" s="27"/>
      <c r="L9" s="27"/>
      <c r="M9" s="27"/>
      <c r="N9" s="27"/>
      <c r="O9" s="27"/>
      <c r="P9" s="31"/>
      <c r="Q9"/>
      <c r="R9" s="360" t="s">
        <v>914</v>
      </c>
      <c r="S9" s="360" t="s">
        <v>919</v>
      </c>
      <c r="T9" s="360" t="s">
        <v>920</v>
      </c>
      <c r="U9" s="360" t="s">
        <v>921</v>
      </c>
      <c r="V9" s="360" t="s">
        <v>922</v>
      </c>
      <c r="W9" s="360" t="s">
        <v>867</v>
      </c>
      <c r="X9" s="360"/>
      <c r="Y9"/>
      <c r="Z9"/>
      <c r="AA9"/>
    </row>
    <row r="10" spans="1:27" x14ac:dyDescent="0.25">
      <c r="A10" s="27"/>
      <c r="B10" s="27"/>
      <c r="C10" s="27"/>
      <c r="D10" s="27"/>
      <c r="E10" s="27"/>
      <c r="F10" s="27"/>
      <c r="G10" s="27"/>
      <c r="H10" s="27"/>
      <c r="I10" s="27"/>
      <c r="J10" s="27"/>
      <c r="K10" s="27"/>
      <c r="L10" s="27"/>
      <c r="M10" s="27"/>
      <c r="N10" s="27"/>
      <c r="O10" s="27"/>
      <c r="P10" s="31"/>
      <c r="Q10"/>
      <c r="R10" s="361">
        <v>1</v>
      </c>
      <c r="S10" s="362">
        <f>B17</f>
        <v>2.5000000000000001E-2</v>
      </c>
      <c r="T10" s="362">
        <f>C17</f>
        <v>3.1E-2</v>
      </c>
      <c r="U10" s="362">
        <f>T10-S10</f>
        <v>5.9999999999999984E-3</v>
      </c>
      <c r="V10" s="362">
        <f>0.4*U10</f>
        <v>2.3999999999999994E-3</v>
      </c>
      <c r="W10" s="362">
        <f>S10+ V10</f>
        <v>2.7400000000000001E-2</v>
      </c>
      <c r="X10" s="362"/>
      <c r="Y10"/>
      <c r="Z10"/>
      <c r="AA10"/>
    </row>
    <row r="11" spans="1:27" x14ac:dyDescent="0.25">
      <c r="A11" s="27" t="s">
        <v>903</v>
      </c>
      <c r="B11" s="27"/>
      <c r="C11" s="27"/>
      <c r="D11" s="27"/>
      <c r="E11" s="27"/>
      <c r="F11" s="27"/>
      <c r="G11" s="27"/>
      <c r="H11" s="27"/>
      <c r="I11" s="27"/>
      <c r="J11" s="27"/>
      <c r="K11" s="27"/>
      <c r="L11" s="27"/>
      <c r="M11" s="27"/>
      <c r="N11" s="27"/>
      <c r="O11" s="27"/>
      <c r="P11" s="31"/>
      <c r="Q11"/>
      <c r="R11" s="361">
        <v>2</v>
      </c>
      <c r="S11" s="362">
        <f t="shared" ref="S11:S14" si="0">B18</f>
        <v>2.75E-2</v>
      </c>
      <c r="T11" s="362">
        <f t="shared" ref="T11:T14" si="1">C18</f>
        <v>3.4000000000000002E-2</v>
      </c>
      <c r="U11" s="362">
        <f t="shared" ref="U11:U14" si="2">T11-S11</f>
        <v>6.5000000000000023E-3</v>
      </c>
      <c r="V11" s="362">
        <f t="shared" ref="V11:V14" si="3">0.4*U11</f>
        <v>2.6000000000000012E-3</v>
      </c>
      <c r="W11" s="362">
        <f t="shared" ref="W11:W14" si="4">S11+ V11</f>
        <v>3.0100000000000002E-2</v>
      </c>
      <c r="X11" s="362"/>
      <c r="Y11"/>
      <c r="Z11"/>
      <c r="AA11"/>
    </row>
    <row r="12" spans="1:27" x14ac:dyDescent="0.25">
      <c r="A12" s="27" t="s">
        <v>904</v>
      </c>
      <c r="B12" s="27"/>
      <c r="C12" s="27"/>
      <c r="D12" s="27"/>
      <c r="E12" s="27"/>
      <c r="F12" s="27"/>
      <c r="G12" s="27"/>
      <c r="H12" s="27"/>
      <c r="I12" s="27"/>
      <c r="J12" s="27"/>
      <c r="K12" s="27"/>
      <c r="L12" s="27"/>
      <c r="M12" s="27"/>
      <c r="N12" s="27"/>
      <c r="O12" s="27"/>
      <c r="P12" s="31"/>
      <c r="Q12"/>
      <c r="R12" s="361">
        <v>3</v>
      </c>
      <c r="S12" s="362">
        <f t="shared" si="0"/>
        <v>0.03</v>
      </c>
      <c r="T12" s="362">
        <f t="shared" si="1"/>
        <v>3.7499999999999999E-2</v>
      </c>
      <c r="U12" s="362">
        <f t="shared" si="2"/>
        <v>7.4999999999999997E-3</v>
      </c>
      <c r="V12" s="362">
        <f t="shared" si="3"/>
        <v>3.0000000000000001E-3</v>
      </c>
      <c r="W12" s="362">
        <f t="shared" si="4"/>
        <v>3.3000000000000002E-2</v>
      </c>
      <c r="X12" s="362"/>
      <c r="Y12"/>
      <c r="Z12"/>
      <c r="AA12"/>
    </row>
    <row r="13" spans="1:27" x14ac:dyDescent="0.25">
      <c r="A13" s="27"/>
      <c r="B13" s="27"/>
      <c r="C13" s="27"/>
      <c r="D13" s="27"/>
      <c r="E13" s="27"/>
      <c r="F13" s="27"/>
      <c r="G13" s="27"/>
      <c r="H13" s="27"/>
      <c r="I13" s="27"/>
      <c r="J13" s="27"/>
      <c r="K13" s="27"/>
      <c r="L13" s="27"/>
      <c r="M13" s="27"/>
      <c r="N13" s="27"/>
      <c r="O13" s="27"/>
      <c r="P13" s="31"/>
      <c r="Q13"/>
      <c r="R13" s="361">
        <v>4</v>
      </c>
      <c r="S13" s="362">
        <f t="shared" si="0"/>
        <v>3.2000000000000001E-2</v>
      </c>
      <c r="T13" s="362">
        <f t="shared" si="1"/>
        <v>0.04</v>
      </c>
      <c r="U13" s="362">
        <f t="shared" si="2"/>
        <v>8.0000000000000002E-3</v>
      </c>
      <c r="V13" s="362">
        <f t="shared" si="3"/>
        <v>3.2000000000000002E-3</v>
      </c>
      <c r="W13" s="362">
        <f t="shared" si="4"/>
        <v>3.5200000000000002E-2</v>
      </c>
      <c r="X13" s="362"/>
      <c r="Y13"/>
      <c r="Z13"/>
      <c r="AA13"/>
    </row>
    <row r="14" spans="1:27" x14ac:dyDescent="0.25">
      <c r="A14" s="27" t="s">
        <v>905</v>
      </c>
      <c r="B14" s="27"/>
      <c r="C14" s="27"/>
      <c r="D14" s="27"/>
      <c r="E14" s="27"/>
      <c r="F14" s="27"/>
      <c r="G14" s="27"/>
      <c r="H14" s="27"/>
      <c r="I14" s="27"/>
      <c r="J14" s="27"/>
      <c r="K14" s="27"/>
      <c r="L14" s="27"/>
      <c r="M14" s="27"/>
      <c r="N14" s="27"/>
      <c r="O14" s="27"/>
      <c r="P14" s="31"/>
      <c r="Q14"/>
      <c r="R14" s="361">
        <v>5</v>
      </c>
      <c r="S14" s="362">
        <f t="shared" si="0"/>
        <v>3.3500000000000002E-2</v>
      </c>
      <c r="T14" s="362">
        <f t="shared" si="1"/>
        <v>4.2000000000000003E-2</v>
      </c>
      <c r="U14" s="362">
        <f t="shared" si="2"/>
        <v>8.5000000000000006E-3</v>
      </c>
      <c r="V14" s="362">
        <f t="shared" si="3"/>
        <v>3.4000000000000002E-3</v>
      </c>
      <c r="W14" s="362">
        <f t="shared" si="4"/>
        <v>3.6900000000000002E-2</v>
      </c>
      <c r="X14" s="362"/>
      <c r="Y14"/>
      <c r="Z14"/>
      <c r="AA14"/>
    </row>
    <row r="15" spans="1:27" x14ac:dyDescent="0.25">
      <c r="A15" s="30"/>
      <c r="B15" s="27"/>
      <c r="C15" s="27"/>
      <c r="D15" s="27"/>
      <c r="E15" s="27"/>
      <c r="F15" s="27"/>
      <c r="G15" s="27"/>
      <c r="H15" s="27"/>
      <c r="I15" s="27"/>
      <c r="J15" s="27"/>
      <c r="K15" s="27"/>
      <c r="L15" s="27"/>
      <c r="M15" s="27"/>
      <c r="N15" s="27"/>
      <c r="O15" s="27"/>
      <c r="P15" s="31"/>
      <c r="Q15"/>
      <c r="R15" s="361"/>
      <c r="S15" s="362"/>
      <c r="T15" s="362"/>
      <c r="U15" s="362"/>
      <c r="V15" s="362"/>
      <c r="W15" s="362"/>
      <c r="X15" s="362"/>
      <c r="Y15"/>
      <c r="Z15"/>
      <c r="AA15"/>
    </row>
    <row r="16" spans="1:27" x14ac:dyDescent="0.25">
      <c r="A16" s="27" t="s">
        <v>906</v>
      </c>
      <c r="B16" s="27" t="s">
        <v>907</v>
      </c>
      <c r="C16" s="27" t="s">
        <v>908</v>
      </c>
      <c r="D16" s="27" t="s">
        <v>909</v>
      </c>
      <c r="E16" s="27"/>
      <c r="F16" s="27"/>
      <c r="G16" s="27"/>
      <c r="H16" s="27"/>
      <c r="I16" s="27"/>
      <c r="J16" s="27"/>
      <c r="K16" s="27"/>
      <c r="L16" s="27"/>
      <c r="M16" s="27"/>
      <c r="N16" s="27"/>
      <c r="O16" s="27"/>
      <c r="P16" s="31"/>
      <c r="Q16"/>
      <c r="R16" t="s">
        <v>923</v>
      </c>
      <c r="S16" s="362"/>
      <c r="T16" s="362"/>
      <c r="U16" s="362"/>
      <c r="V16" s="362"/>
      <c r="W16" s="362"/>
      <c r="X16" s="362"/>
      <c r="Y16"/>
      <c r="Z16"/>
      <c r="AA16"/>
    </row>
    <row r="17" spans="1:27" x14ac:dyDescent="0.25">
      <c r="A17" s="27">
        <v>1</v>
      </c>
      <c r="B17" s="367">
        <v>2.5000000000000001E-2</v>
      </c>
      <c r="C17" s="367">
        <v>3.1E-2</v>
      </c>
      <c r="D17" s="367">
        <v>1.5E-3</v>
      </c>
      <c r="E17" s="27"/>
      <c r="F17" s="27"/>
      <c r="G17" s="27"/>
      <c r="H17" s="27"/>
      <c r="I17" s="27"/>
      <c r="J17" s="27"/>
      <c r="K17" s="27"/>
      <c r="L17" s="27"/>
      <c r="M17" s="27"/>
      <c r="N17" s="27"/>
      <c r="O17" s="27"/>
      <c r="P17" s="31"/>
      <c r="Q17"/>
      <c r="R17" s="1" t="s">
        <v>924</v>
      </c>
      <c r="S17" s="1"/>
      <c r="T17" s="1"/>
      <c r="U17" s="1"/>
      <c r="V17" s="1"/>
      <c r="W17" s="1"/>
      <c r="X17" s="1"/>
      <c r="Y17" s="1"/>
      <c r="Z17" s="1"/>
      <c r="AA17"/>
    </row>
    <row r="18" spans="1:27" x14ac:dyDescent="0.25">
      <c r="A18" s="27">
        <v>2</v>
      </c>
      <c r="B18" s="367">
        <v>2.75E-2</v>
      </c>
      <c r="C18" s="367">
        <v>3.4000000000000002E-2</v>
      </c>
      <c r="D18" s="367">
        <v>1.5E-3</v>
      </c>
      <c r="E18" s="27"/>
      <c r="F18" s="27"/>
      <c r="G18" s="27"/>
      <c r="H18" s="27"/>
      <c r="I18" s="27"/>
      <c r="J18" s="27"/>
      <c r="K18" s="27"/>
      <c r="L18" s="27"/>
      <c r="M18" s="27"/>
      <c r="N18" s="27"/>
      <c r="O18" s="27"/>
      <c r="P18" s="31"/>
      <c r="Q18"/>
      <c r="R18"/>
      <c r="S18"/>
      <c r="T18"/>
      <c r="U18"/>
      <c r="V18"/>
      <c r="W18"/>
      <c r="X18"/>
      <c r="Y18"/>
      <c r="Z18"/>
      <c r="AA18"/>
    </row>
    <row r="19" spans="1:27" x14ac:dyDescent="0.25">
      <c r="A19" s="27">
        <v>3</v>
      </c>
      <c r="B19" s="367">
        <v>0.03</v>
      </c>
      <c r="C19" s="367">
        <v>3.7499999999999999E-2</v>
      </c>
      <c r="D19" s="367">
        <v>1.5E-3</v>
      </c>
      <c r="E19" s="27"/>
      <c r="F19" s="27"/>
      <c r="G19" s="27"/>
      <c r="H19" s="27"/>
      <c r="I19" s="27"/>
      <c r="J19" s="27"/>
      <c r="K19" s="27"/>
      <c r="L19" s="27"/>
      <c r="M19" s="27"/>
      <c r="N19" s="27"/>
      <c r="O19" s="27"/>
      <c r="P19" s="31"/>
      <c r="Q19"/>
      <c r="R19" s="1" t="s">
        <v>925</v>
      </c>
      <c r="S19"/>
      <c r="T19"/>
      <c r="U19"/>
      <c r="V19"/>
      <c r="W19"/>
      <c r="X19"/>
      <c r="Y19"/>
      <c r="Z19"/>
      <c r="AA19"/>
    </row>
    <row r="20" spans="1:27" x14ac:dyDescent="0.25">
      <c r="A20" s="36">
        <v>4</v>
      </c>
      <c r="B20" s="367">
        <v>3.2000000000000001E-2</v>
      </c>
      <c r="C20" s="367">
        <v>0.04</v>
      </c>
      <c r="D20" s="367">
        <v>1.5E-3</v>
      </c>
      <c r="E20" s="27"/>
      <c r="F20" s="27"/>
      <c r="G20" s="27"/>
      <c r="H20" s="27"/>
      <c r="I20" s="27"/>
      <c r="J20" s="27"/>
      <c r="K20" s="27"/>
      <c r="L20" s="27"/>
      <c r="M20" s="27"/>
      <c r="N20" s="27"/>
      <c r="O20" s="27"/>
      <c r="P20" s="31"/>
      <c r="Q20"/>
      <c r="R20"/>
      <c r="S20"/>
      <c r="T20"/>
      <c r="U20"/>
      <c r="V20"/>
      <c r="W20"/>
      <c r="X20"/>
      <c r="Y20"/>
      <c r="Z20"/>
      <c r="AA20"/>
    </row>
    <row r="21" spans="1:27" x14ac:dyDescent="0.25">
      <c r="A21" s="36">
        <v>5</v>
      </c>
      <c r="B21" s="367">
        <v>3.3500000000000002E-2</v>
      </c>
      <c r="C21" s="367">
        <v>4.2000000000000003E-2</v>
      </c>
      <c r="D21" s="367">
        <v>1.5E-3</v>
      </c>
      <c r="E21" s="27"/>
      <c r="F21" s="27"/>
      <c r="G21" s="27"/>
      <c r="H21" s="27"/>
      <c r="I21" s="27"/>
      <c r="J21" s="27"/>
      <c r="K21" s="27"/>
      <c r="L21" s="27"/>
      <c r="M21" s="27"/>
      <c r="N21" s="27"/>
      <c r="O21" s="27"/>
      <c r="P21" s="31"/>
      <c r="Q21"/>
      <c r="R21" t="s">
        <v>926</v>
      </c>
      <c r="S21"/>
      <c r="T21"/>
      <c r="U21"/>
      <c r="V21"/>
      <c r="W21"/>
      <c r="X21"/>
      <c r="Y21"/>
      <c r="Z21"/>
      <c r="AA21"/>
    </row>
    <row r="22" spans="1:27" x14ac:dyDescent="0.25">
      <c r="A22" s="36"/>
      <c r="B22" s="27"/>
      <c r="C22" s="27"/>
      <c r="D22" s="27"/>
      <c r="E22" s="27"/>
      <c r="F22" s="27"/>
      <c r="G22" s="27"/>
      <c r="H22" s="27"/>
      <c r="I22" s="27"/>
      <c r="J22" s="27"/>
      <c r="K22" s="27"/>
      <c r="L22" s="27"/>
      <c r="M22" s="27"/>
      <c r="N22" s="27"/>
      <c r="O22" s="27"/>
      <c r="P22" s="31"/>
      <c r="Q22"/>
      <c r="R22"/>
      <c r="S22"/>
      <c r="T22"/>
      <c r="U22"/>
      <c r="V22"/>
      <c r="W22"/>
      <c r="X22"/>
      <c r="Y22"/>
      <c r="Z22"/>
      <c r="AA22"/>
    </row>
    <row r="23" spans="1:27" ht="30" x14ac:dyDescent="0.25">
      <c r="A23" s="36" t="s">
        <v>910</v>
      </c>
      <c r="B23" s="27"/>
      <c r="C23" s="27"/>
      <c r="D23" s="27"/>
      <c r="E23" s="27"/>
      <c r="F23" s="27"/>
      <c r="G23" s="27"/>
      <c r="H23" s="27"/>
      <c r="I23" s="27"/>
      <c r="J23" s="27"/>
      <c r="K23" s="27"/>
      <c r="L23" s="27"/>
      <c r="M23" s="27"/>
      <c r="N23" s="27"/>
      <c r="O23" s="27"/>
      <c r="P23" s="31"/>
      <c r="Q23"/>
      <c r="R23" s="360" t="s">
        <v>914</v>
      </c>
      <c r="S23" s="360" t="s">
        <v>927</v>
      </c>
      <c r="T23" s="360" t="s">
        <v>867</v>
      </c>
      <c r="U23" s="360" t="s">
        <v>928</v>
      </c>
      <c r="V23" s="360" t="s">
        <v>929</v>
      </c>
      <c r="W23"/>
      <c r="X23"/>
      <c r="Y23"/>
      <c r="Z23"/>
      <c r="AA23"/>
    </row>
    <row r="24" spans="1:27" x14ac:dyDescent="0.25">
      <c r="A24" s="35"/>
      <c r="B24" s="27"/>
      <c r="C24" s="27"/>
      <c r="D24" s="27"/>
      <c r="E24" s="27"/>
      <c r="F24" s="27"/>
      <c r="G24" s="27"/>
      <c r="H24" s="27"/>
      <c r="I24" s="27"/>
      <c r="J24" s="27"/>
      <c r="K24" s="27"/>
      <c r="L24" s="27"/>
      <c r="M24" s="27"/>
      <c r="N24" s="27"/>
      <c r="O24" s="27"/>
      <c r="P24" s="31"/>
      <c r="Q24"/>
      <c r="R24" s="361">
        <v>2025</v>
      </c>
      <c r="S24" s="363">
        <f>B31</f>
        <v>2500</v>
      </c>
      <c r="T24" s="362">
        <f>W10</f>
        <v>2.7400000000000001E-2</v>
      </c>
      <c r="U24" s="361">
        <f>1/(1+T24)^(R24-2024)</f>
        <v>0.97333073778469914</v>
      </c>
      <c r="V24" s="363">
        <f>U24*S24</f>
        <v>2433.3268444617479</v>
      </c>
      <c r="W24"/>
      <c r="X24"/>
      <c r="Y24"/>
      <c r="Z24"/>
      <c r="AA24"/>
    </row>
    <row r="25" spans="1:27" x14ac:dyDescent="0.25">
      <c r="A25" s="27" t="s">
        <v>911</v>
      </c>
      <c r="B25" s="27"/>
      <c r="C25" s="27"/>
      <c r="D25" s="27"/>
      <c r="E25" s="27"/>
      <c r="F25" s="27"/>
      <c r="G25" s="27"/>
      <c r="H25" s="27"/>
      <c r="I25" s="27"/>
      <c r="J25" s="27"/>
      <c r="K25" s="27"/>
      <c r="L25" s="27"/>
      <c r="M25" s="27"/>
      <c r="N25" s="27"/>
      <c r="O25" s="27"/>
      <c r="P25" s="31"/>
      <c r="Q25"/>
      <c r="R25" s="361">
        <v>2026</v>
      </c>
      <c r="S25" s="363">
        <f t="shared" ref="S25:S28" si="5">B32</f>
        <v>2000</v>
      </c>
      <c r="T25" s="362">
        <f t="shared" ref="T25:T28" si="6">W11</f>
        <v>3.0100000000000002E-2</v>
      </c>
      <c r="U25" s="361">
        <f t="shared" ref="U25:U28" si="7">1/(1+T25)^(R25-2024)</f>
        <v>0.94241290745304507</v>
      </c>
      <c r="V25" s="363">
        <f t="shared" ref="V25:V28" si="8">U25*S25</f>
        <v>1884.82581490609</v>
      </c>
      <c r="W25"/>
      <c r="X25"/>
      <c r="Y25"/>
      <c r="Z25"/>
      <c r="AA25"/>
    </row>
    <row r="26" spans="1:27" x14ac:dyDescent="0.25">
      <c r="A26" s="27" t="s">
        <v>912</v>
      </c>
      <c r="B26" s="27"/>
      <c r="C26" s="27"/>
      <c r="D26" s="27"/>
      <c r="E26" s="27"/>
      <c r="F26" s="27"/>
      <c r="G26" s="27"/>
      <c r="H26" s="27"/>
      <c r="I26" s="27"/>
      <c r="J26" s="27"/>
      <c r="K26" s="27"/>
      <c r="L26" s="27"/>
      <c r="M26" s="27"/>
      <c r="N26" s="27"/>
      <c r="O26" s="27"/>
      <c r="P26" s="31"/>
      <c r="Q26"/>
      <c r="R26" s="361">
        <v>2027</v>
      </c>
      <c r="S26" s="363">
        <f t="shared" si="5"/>
        <v>1500</v>
      </c>
      <c r="T26" s="362">
        <f t="shared" si="6"/>
        <v>3.3000000000000002E-2</v>
      </c>
      <c r="U26" s="361">
        <f t="shared" si="7"/>
        <v>0.90719163165941952</v>
      </c>
      <c r="V26" s="363">
        <f t="shared" si="8"/>
        <v>1360.7874474891294</v>
      </c>
      <c r="W26"/>
      <c r="X26"/>
      <c r="Y26"/>
      <c r="Z26"/>
      <c r="AA26"/>
    </row>
    <row r="27" spans="1:27" x14ac:dyDescent="0.25">
      <c r="A27" s="27"/>
      <c r="B27" s="27"/>
      <c r="C27" s="27"/>
      <c r="D27" s="27"/>
      <c r="E27" s="27"/>
      <c r="F27" s="27"/>
      <c r="G27" s="27"/>
      <c r="H27" s="27"/>
      <c r="I27" s="27"/>
      <c r="J27" s="27"/>
      <c r="K27" s="27"/>
      <c r="L27" s="27"/>
      <c r="M27" s="27"/>
      <c r="N27" s="27"/>
      <c r="O27" s="27"/>
      <c r="P27" s="31"/>
      <c r="Q27"/>
      <c r="R27" s="361">
        <v>2028</v>
      </c>
      <c r="S27" s="363">
        <f t="shared" si="5"/>
        <v>1000</v>
      </c>
      <c r="T27" s="362">
        <f t="shared" si="6"/>
        <v>3.5200000000000002E-2</v>
      </c>
      <c r="U27" s="361">
        <f t="shared" si="7"/>
        <v>0.87076897443962742</v>
      </c>
      <c r="V27" s="363">
        <f t="shared" si="8"/>
        <v>870.76897443962741</v>
      </c>
      <c r="W27"/>
      <c r="X27"/>
      <c r="Y27"/>
      <c r="Z27"/>
      <c r="AA27"/>
    </row>
    <row r="28" spans="1:27" x14ac:dyDescent="0.25">
      <c r="A28" s="27" t="s">
        <v>913</v>
      </c>
      <c r="B28" s="27"/>
      <c r="C28" s="27"/>
      <c r="D28" s="27"/>
      <c r="E28" s="27"/>
      <c r="F28" s="27"/>
      <c r="G28" s="27"/>
      <c r="H28" s="27"/>
      <c r="I28" s="27"/>
      <c r="J28" s="27"/>
      <c r="K28" s="27"/>
      <c r="L28" s="27"/>
      <c r="M28" s="27"/>
      <c r="N28" s="27"/>
      <c r="O28" s="27"/>
      <c r="P28" s="31"/>
      <c r="Q28"/>
      <c r="R28" s="361">
        <v>2029</v>
      </c>
      <c r="S28" s="363">
        <f t="shared" si="5"/>
        <v>500</v>
      </c>
      <c r="T28" s="362">
        <f t="shared" si="6"/>
        <v>3.6900000000000002E-2</v>
      </c>
      <c r="U28" s="361">
        <f t="shared" si="7"/>
        <v>0.83428729050712502</v>
      </c>
      <c r="V28" s="363">
        <f t="shared" si="8"/>
        <v>417.14364525356251</v>
      </c>
      <c r="W28"/>
      <c r="X28"/>
      <c r="Y28"/>
      <c r="Z28"/>
      <c r="AA28"/>
    </row>
    <row r="29" spans="1:27" x14ac:dyDescent="0.25">
      <c r="A29" s="27"/>
      <c r="B29" s="27"/>
      <c r="C29" s="27"/>
      <c r="D29" s="27"/>
      <c r="E29" s="27"/>
      <c r="F29" s="27"/>
      <c r="G29" s="27"/>
      <c r="H29" s="27"/>
      <c r="I29" s="27"/>
      <c r="J29" s="27"/>
      <c r="K29" s="27"/>
      <c r="L29" s="27"/>
      <c r="M29" s="27"/>
      <c r="N29" s="27"/>
      <c r="O29" s="27"/>
      <c r="P29" s="31"/>
      <c r="Q29"/>
      <c r="R29" s="364" t="s">
        <v>930</v>
      </c>
      <c r="S29" s="361"/>
      <c r="T29" s="361"/>
      <c r="U29" s="361"/>
      <c r="V29" s="368">
        <f>SUM(V24:V28)</f>
        <v>6966.852726550158</v>
      </c>
      <c r="W29"/>
      <c r="X29"/>
      <c r="Y29"/>
      <c r="Z29"/>
      <c r="AA29"/>
    </row>
    <row r="30" spans="1:27" x14ac:dyDescent="0.25">
      <c r="A30" s="27" t="s">
        <v>914</v>
      </c>
      <c r="B30" s="27" t="s">
        <v>915</v>
      </c>
      <c r="C30" s="27"/>
      <c r="D30" s="27"/>
      <c r="E30" s="27"/>
      <c r="F30" s="27"/>
      <c r="G30" s="27"/>
      <c r="H30" s="27"/>
      <c r="I30" s="27"/>
      <c r="J30" s="27"/>
      <c r="K30" s="27"/>
      <c r="L30" s="27"/>
      <c r="M30" s="27"/>
      <c r="N30" s="27"/>
      <c r="O30" s="27"/>
      <c r="P30" s="31"/>
      <c r="Q30"/>
      <c r="R30" s="364"/>
      <c r="S30" s="361"/>
      <c r="T30" s="361"/>
      <c r="U30" s="361"/>
      <c r="V30" s="365"/>
      <c r="W30"/>
      <c r="X30"/>
      <c r="Y30"/>
      <c r="Z30"/>
    </row>
    <row r="31" spans="1:27" x14ac:dyDescent="0.25">
      <c r="A31" s="27">
        <v>2025</v>
      </c>
      <c r="B31" s="27">
        <v>2500</v>
      </c>
      <c r="C31" s="27"/>
      <c r="D31" s="27"/>
      <c r="E31" s="27"/>
      <c r="F31" s="27"/>
      <c r="G31" s="27"/>
      <c r="H31" s="27"/>
      <c r="I31" s="27"/>
      <c r="J31" s="27"/>
      <c r="K31" s="27"/>
      <c r="L31" s="27"/>
      <c r="M31" s="27"/>
      <c r="N31" s="27"/>
      <c r="O31" s="27"/>
      <c r="P31" s="31"/>
      <c r="Q31"/>
      <c r="R31" s="1" t="s">
        <v>931</v>
      </c>
      <c r="S31" s="361"/>
      <c r="T31" s="361"/>
      <c r="U31" s="361"/>
      <c r="V31" s="365"/>
      <c r="W31"/>
      <c r="X31"/>
      <c r="Y31"/>
      <c r="Z31"/>
    </row>
    <row r="32" spans="1:27" x14ac:dyDescent="0.25">
      <c r="A32" s="27">
        <v>2026</v>
      </c>
      <c r="B32" s="27">
        <v>2000</v>
      </c>
      <c r="C32" s="27"/>
      <c r="D32" s="27"/>
      <c r="E32" s="27"/>
      <c r="F32" s="27"/>
      <c r="G32" s="27"/>
      <c r="H32" s="27"/>
      <c r="I32" s="27"/>
      <c r="J32" s="27"/>
      <c r="K32" s="27"/>
      <c r="L32" s="27"/>
      <c r="M32" s="27"/>
      <c r="N32" s="27"/>
      <c r="O32" s="27"/>
      <c r="P32" s="31"/>
      <c r="Q32"/>
      <c r="R32"/>
      <c r="S32"/>
      <c r="T32"/>
      <c r="U32"/>
      <c r="V32"/>
      <c r="W32"/>
      <c r="X32"/>
      <c r="Y32"/>
      <c r="Z32"/>
    </row>
    <row r="33" spans="1:26" x14ac:dyDescent="0.25">
      <c r="A33" s="27">
        <v>2027</v>
      </c>
      <c r="B33" s="27">
        <v>1500</v>
      </c>
      <c r="C33" s="27"/>
      <c r="D33" s="27"/>
      <c r="E33" s="27"/>
      <c r="F33" s="27"/>
      <c r="G33" s="27"/>
      <c r="H33" s="27"/>
      <c r="I33" s="27"/>
      <c r="J33" s="27"/>
      <c r="K33" s="27"/>
      <c r="L33" s="27"/>
      <c r="M33" s="27"/>
      <c r="N33" s="27"/>
      <c r="O33" s="27"/>
      <c r="P33" s="31"/>
      <c r="Q33"/>
      <c r="R33" s="1" t="s">
        <v>932</v>
      </c>
      <c r="S33"/>
      <c r="T33"/>
      <c r="U33"/>
      <c r="V33"/>
      <c r="W33"/>
      <c r="X33"/>
      <c r="Y33"/>
      <c r="Z33"/>
    </row>
    <row r="34" spans="1:26" x14ac:dyDescent="0.25">
      <c r="A34" s="27">
        <v>2028</v>
      </c>
      <c r="B34" s="27">
        <v>1000</v>
      </c>
      <c r="C34" s="27"/>
      <c r="D34" s="27"/>
      <c r="E34" s="27"/>
      <c r="F34" s="27"/>
      <c r="G34" s="27"/>
      <c r="H34" s="27"/>
      <c r="I34" s="27"/>
      <c r="J34" s="27"/>
      <c r="K34" s="27"/>
      <c r="L34" s="27"/>
      <c r="M34" s="27"/>
      <c r="N34" s="27"/>
      <c r="O34" s="27"/>
      <c r="P34" s="31"/>
      <c r="Q34"/>
      <c r="R34"/>
      <c r="S34"/>
      <c r="T34"/>
      <c r="U34"/>
      <c r="V34"/>
      <c r="W34"/>
      <c r="X34"/>
      <c r="Y34"/>
      <c r="Z34"/>
    </row>
    <row r="35" spans="1:26" x14ac:dyDescent="0.25">
      <c r="A35" s="27">
        <v>2029</v>
      </c>
      <c r="B35" s="27">
        <v>500</v>
      </c>
      <c r="C35" s="27"/>
      <c r="D35" s="27"/>
      <c r="E35" s="27"/>
      <c r="F35" s="27"/>
      <c r="G35" s="27"/>
      <c r="H35" s="27"/>
      <c r="I35" s="27"/>
      <c r="J35" s="27"/>
      <c r="K35" s="27"/>
      <c r="L35" s="27"/>
      <c r="M35" s="27"/>
      <c r="N35" s="27"/>
      <c r="O35" s="27"/>
      <c r="P35" s="31"/>
      <c r="Q35"/>
      <c r="R35" t="s">
        <v>933</v>
      </c>
      <c r="S35"/>
      <c r="T35"/>
      <c r="U35"/>
      <c r="V35"/>
      <c r="W35"/>
      <c r="X35"/>
      <c r="Y35"/>
      <c r="Z35"/>
    </row>
    <row r="36" spans="1:26" x14ac:dyDescent="0.25">
      <c r="A36" s="36"/>
      <c r="B36" s="27"/>
      <c r="C36" s="27"/>
      <c r="D36" s="27"/>
      <c r="E36" s="27"/>
      <c r="F36" s="27"/>
      <c r="G36" s="27"/>
      <c r="H36" s="27"/>
      <c r="I36" s="27"/>
      <c r="J36" s="27"/>
      <c r="K36" s="27"/>
      <c r="L36" s="27"/>
      <c r="M36" s="27"/>
      <c r="N36" s="27"/>
      <c r="O36" s="27"/>
      <c r="P36" s="31"/>
      <c r="Q36"/>
      <c r="R36" t="s">
        <v>934</v>
      </c>
      <c r="S36"/>
      <c r="T36"/>
      <c r="U36"/>
      <c r="V36"/>
      <c r="W36"/>
      <c r="X36"/>
      <c r="Y36"/>
      <c r="Z36"/>
    </row>
    <row r="37" spans="1:26" x14ac:dyDescent="0.25">
      <c r="A37" s="35" t="s">
        <v>2</v>
      </c>
      <c r="B37" s="36" t="s">
        <v>937</v>
      </c>
      <c r="C37" s="27"/>
      <c r="D37" s="27"/>
      <c r="E37" s="27"/>
      <c r="F37" s="27"/>
      <c r="G37" s="27"/>
      <c r="H37" s="27"/>
      <c r="I37" s="27"/>
      <c r="J37" s="27"/>
      <c r="K37" s="27"/>
      <c r="L37" s="27"/>
      <c r="M37" s="27"/>
      <c r="N37" s="27"/>
      <c r="O37" s="27"/>
      <c r="P37" s="31"/>
      <c r="Q37"/>
      <c r="R37"/>
      <c r="S37"/>
      <c r="T37"/>
      <c r="U37"/>
      <c r="V37"/>
      <c r="W37"/>
      <c r="X37"/>
      <c r="Y37"/>
      <c r="Z37"/>
    </row>
    <row r="38" spans="1:26" ht="15.75" thickBot="1" x14ac:dyDescent="0.3">
      <c r="A38" s="9">
        <f>INDEX('Point Grid'!$C$8:$I$35,MATCH($A$1,'Point Grid'!$A$8:$A$35,0),MATCH(A37,'Point Grid'!$C$7:$I$7,0))</f>
        <v>0.75</v>
      </c>
      <c r="B38" s="36"/>
      <c r="C38" s="27"/>
      <c r="D38" s="27"/>
      <c r="E38" s="27"/>
      <c r="F38" s="27"/>
      <c r="G38" s="27"/>
      <c r="H38" s="27"/>
      <c r="I38" s="27"/>
      <c r="J38" s="27"/>
      <c r="K38" s="27"/>
      <c r="L38" s="27"/>
      <c r="M38" s="27"/>
      <c r="N38" s="27"/>
      <c r="O38" s="27"/>
      <c r="P38" s="31"/>
      <c r="Q38"/>
      <c r="R38" s="1" t="s">
        <v>931</v>
      </c>
      <c r="S38"/>
      <c r="T38"/>
      <c r="U38"/>
      <c r="V38"/>
      <c r="W38"/>
      <c r="X38"/>
      <c r="Y38"/>
      <c r="Z38"/>
    </row>
    <row r="39" spans="1:26" ht="15.75" thickBot="1" x14ac:dyDescent="0.3">
      <c r="A39" s="5"/>
      <c r="B39" s="36"/>
      <c r="C39" s="27"/>
      <c r="D39" s="27"/>
      <c r="E39" s="27"/>
      <c r="F39" s="27"/>
      <c r="G39" s="27"/>
      <c r="H39" s="27"/>
      <c r="I39" s="27"/>
      <c r="J39" s="27"/>
      <c r="K39" s="27"/>
      <c r="L39" s="27"/>
      <c r="M39" s="27"/>
      <c r="N39" s="27"/>
      <c r="O39" s="27"/>
      <c r="P39" s="31"/>
      <c r="Q39"/>
      <c r="R39"/>
      <c r="S39"/>
      <c r="T39"/>
    </row>
    <row r="40" spans="1:26" x14ac:dyDescent="0.25">
      <c r="A40" s="35"/>
      <c r="B40" s="27"/>
      <c r="C40" s="27"/>
      <c r="D40" s="27"/>
      <c r="E40" s="27"/>
      <c r="F40" s="27"/>
      <c r="G40" s="27"/>
      <c r="H40" s="27"/>
      <c r="I40" s="27"/>
      <c r="J40" s="27"/>
      <c r="K40" s="27"/>
      <c r="L40" s="27"/>
      <c r="M40" s="27"/>
      <c r="N40" s="27"/>
      <c r="O40" s="27"/>
      <c r="P40" s="31"/>
      <c r="Q40"/>
      <c r="R40"/>
      <c r="S40"/>
      <c r="T40"/>
    </row>
    <row r="41" spans="1:26" x14ac:dyDescent="0.25">
      <c r="A41" s="35" t="s">
        <v>3</v>
      </c>
      <c r="B41" s="36" t="s">
        <v>938</v>
      </c>
      <c r="C41" s="27"/>
      <c r="D41" s="27"/>
      <c r="E41" s="27"/>
      <c r="F41" s="27"/>
      <c r="G41" s="27"/>
      <c r="H41" s="27"/>
      <c r="I41" s="27"/>
      <c r="J41" s="27"/>
      <c r="K41" s="27"/>
      <c r="L41" s="27"/>
      <c r="M41" s="27"/>
      <c r="N41" s="27"/>
      <c r="O41" s="27"/>
      <c r="P41" s="31"/>
      <c r="Q41"/>
      <c r="R41"/>
      <c r="S41"/>
      <c r="T41"/>
    </row>
    <row r="42" spans="1:26" ht="15.75" thickBot="1" x14ac:dyDescent="0.3">
      <c r="A42" s="9">
        <f>INDEX('Point Grid'!$C$8:$I$35,MATCH($A$1,'Point Grid'!$A$8:$A$35,0),MATCH(A41,'Point Grid'!$C$7:$I$7,0))</f>
        <v>0.5</v>
      </c>
      <c r="B42" s="36"/>
      <c r="C42" s="27"/>
      <c r="D42" s="27"/>
      <c r="E42" s="27"/>
      <c r="F42" s="27"/>
      <c r="G42" s="27"/>
      <c r="H42" s="27"/>
      <c r="I42" s="27"/>
      <c r="J42" s="27"/>
      <c r="K42" s="27"/>
      <c r="L42" s="27"/>
      <c r="M42" s="27"/>
      <c r="N42" s="27"/>
      <c r="O42" s="27"/>
      <c r="P42" s="31"/>
      <c r="Q42"/>
      <c r="R42"/>
      <c r="S42"/>
      <c r="T42"/>
    </row>
    <row r="43" spans="1:26" ht="15.75" thickBot="1" x14ac:dyDescent="0.3">
      <c r="A43" s="5"/>
      <c r="B43" s="36"/>
      <c r="C43" s="27"/>
      <c r="D43" s="27"/>
      <c r="E43" s="27"/>
      <c r="F43" s="27"/>
      <c r="G43" s="27"/>
      <c r="H43" s="27"/>
      <c r="I43" s="27"/>
      <c r="J43" s="27"/>
      <c r="K43" s="27"/>
      <c r="L43" s="27"/>
      <c r="M43" s="27"/>
      <c r="N43" s="27"/>
      <c r="O43" s="27"/>
      <c r="P43" s="31"/>
      <c r="Q43"/>
      <c r="R43"/>
      <c r="S43"/>
      <c r="T43"/>
    </row>
    <row r="44" spans="1:26" x14ac:dyDescent="0.25">
      <c r="A44" s="27"/>
      <c r="B44" s="27"/>
      <c r="C44" s="27"/>
      <c r="D44" s="27"/>
      <c r="E44" s="27"/>
      <c r="F44" s="27"/>
      <c r="G44" s="27"/>
      <c r="H44" s="27"/>
      <c r="I44" s="27"/>
      <c r="J44" s="27"/>
      <c r="K44" s="27"/>
      <c r="L44" s="27"/>
      <c r="M44" s="27"/>
      <c r="N44" s="27"/>
      <c r="O44" s="27"/>
      <c r="P44" s="31"/>
      <c r="Q44"/>
      <c r="R44"/>
      <c r="S44"/>
      <c r="T44"/>
    </row>
    <row r="45" spans="1:26" x14ac:dyDescent="0.25">
      <c r="A45" s="39" t="s">
        <v>4</v>
      </c>
      <c r="B45" s="36" t="s">
        <v>939</v>
      </c>
      <c r="C45" s="27"/>
      <c r="D45" s="27"/>
      <c r="E45" s="27"/>
      <c r="F45" s="27"/>
      <c r="G45" s="27"/>
      <c r="H45" s="27"/>
      <c r="I45" s="27"/>
      <c r="J45" s="27"/>
      <c r="K45" s="27"/>
      <c r="L45" s="27"/>
      <c r="M45" s="27"/>
      <c r="N45" s="27"/>
      <c r="O45" s="27"/>
      <c r="P45" s="31"/>
      <c r="Q45"/>
      <c r="R45"/>
      <c r="S45"/>
      <c r="T45"/>
    </row>
    <row r="46" spans="1:26" ht="15.75" thickBot="1" x14ac:dyDescent="0.3">
      <c r="A46" s="9">
        <f>INDEX('Point Grid'!$C$8:$I$35,MATCH($A$1,'Point Grid'!$A$8:$A$35,0),MATCH(A45,'Point Grid'!$C$7:$I$7,0))</f>
        <v>0.5</v>
      </c>
      <c r="B46" s="36"/>
      <c r="C46" s="27"/>
      <c r="D46" s="27"/>
      <c r="E46" s="27"/>
      <c r="F46" s="27"/>
      <c r="G46" s="27"/>
      <c r="H46" s="27"/>
      <c r="I46" s="27"/>
      <c r="J46" s="27"/>
      <c r="K46" s="27"/>
      <c r="L46" s="27"/>
      <c r="M46" s="27"/>
      <c r="N46" s="27"/>
      <c r="O46" s="27"/>
      <c r="P46" s="31"/>
      <c r="Q46"/>
      <c r="R46"/>
      <c r="S46"/>
      <c r="T46"/>
    </row>
    <row r="47" spans="1:26" ht="15.75" thickBot="1" x14ac:dyDescent="0.3">
      <c r="A47" s="5"/>
      <c r="B47" s="27"/>
      <c r="C47" s="27"/>
      <c r="D47" s="27"/>
      <c r="E47" s="27"/>
      <c r="F47" s="27"/>
      <c r="G47" s="27"/>
      <c r="H47" s="27"/>
      <c r="I47" s="27"/>
      <c r="J47" s="27"/>
      <c r="K47" s="27"/>
      <c r="L47" s="27"/>
      <c r="M47" s="27"/>
      <c r="N47" s="27"/>
      <c r="O47" s="27"/>
      <c r="P47" s="31"/>
      <c r="Q47"/>
      <c r="R47"/>
      <c r="S47"/>
      <c r="T47"/>
    </row>
    <row r="48" spans="1:26" ht="15.75" thickBot="1" x14ac:dyDescent="0.3">
      <c r="A48" s="366"/>
      <c r="B48" s="33"/>
      <c r="C48" s="33"/>
      <c r="D48" s="33"/>
      <c r="E48" s="33"/>
      <c r="F48" s="33"/>
      <c r="G48" s="33"/>
      <c r="H48" s="33"/>
      <c r="I48" s="33"/>
      <c r="J48" s="33"/>
      <c r="K48" s="33"/>
      <c r="L48" s="33"/>
      <c r="M48" s="33"/>
      <c r="N48" s="33"/>
      <c r="O48" s="33"/>
      <c r="P48" s="34"/>
      <c r="Q48"/>
      <c r="R48"/>
      <c r="S48"/>
      <c r="T48"/>
    </row>
    <row r="49" spans="1:20" x14ac:dyDescent="0.25">
      <c r="A49"/>
      <c r="B49"/>
      <c r="C49"/>
      <c r="D49"/>
      <c r="E49"/>
      <c r="F49"/>
      <c r="G49"/>
      <c r="H49"/>
      <c r="I49"/>
      <c r="J49"/>
      <c r="K49"/>
      <c r="L49"/>
      <c r="M49"/>
      <c r="N49"/>
      <c r="O49"/>
      <c r="P49"/>
      <c r="Q49"/>
      <c r="R49"/>
      <c r="S49"/>
      <c r="T49"/>
    </row>
    <row r="50" spans="1:20" x14ac:dyDescent="0.25">
      <c r="J50"/>
      <c r="K50"/>
      <c r="L50"/>
      <c r="M50"/>
      <c r="N50"/>
      <c r="O50"/>
      <c r="P50"/>
      <c r="Q50"/>
      <c r="R50"/>
      <c r="S50"/>
      <c r="T50"/>
    </row>
    <row r="51" spans="1:20" x14ac:dyDescent="0.25">
      <c r="J51"/>
      <c r="K51"/>
      <c r="L51"/>
      <c r="M51"/>
      <c r="N51"/>
      <c r="O51"/>
      <c r="P51"/>
      <c r="Q51"/>
      <c r="R51"/>
      <c r="S51"/>
      <c r="T51"/>
    </row>
    <row r="52" spans="1:20" x14ac:dyDescent="0.25">
      <c r="J52"/>
      <c r="K52"/>
      <c r="L52"/>
      <c r="M52"/>
      <c r="N52"/>
      <c r="O52"/>
      <c r="P52"/>
      <c r="Q52"/>
      <c r="R52"/>
      <c r="S52"/>
      <c r="T52"/>
    </row>
    <row r="53" spans="1:20" x14ac:dyDescent="0.25">
      <c r="J53"/>
      <c r="K53"/>
      <c r="L53"/>
      <c r="M53"/>
      <c r="N53"/>
      <c r="O53"/>
      <c r="P53"/>
      <c r="Q53"/>
      <c r="R53"/>
      <c r="S53"/>
      <c r="T53"/>
    </row>
    <row r="54" spans="1:20" x14ac:dyDescent="0.25">
      <c r="J54"/>
      <c r="K54"/>
      <c r="L54"/>
      <c r="M54"/>
      <c r="N54"/>
      <c r="O54"/>
      <c r="P54"/>
      <c r="Q54"/>
      <c r="R54"/>
      <c r="S54"/>
      <c r="T54"/>
    </row>
    <row r="55" spans="1:20" x14ac:dyDescent="0.25">
      <c r="J55"/>
      <c r="K55"/>
      <c r="L55"/>
      <c r="M55"/>
      <c r="N55"/>
      <c r="O55"/>
      <c r="P55"/>
      <c r="Q55"/>
      <c r="R55"/>
      <c r="S55"/>
      <c r="T55"/>
    </row>
    <row r="56" spans="1:20" x14ac:dyDescent="0.25">
      <c r="J56"/>
      <c r="K56"/>
      <c r="L56"/>
      <c r="M56"/>
      <c r="N56"/>
      <c r="O56"/>
      <c r="P56"/>
      <c r="Q56"/>
      <c r="R56"/>
      <c r="S56"/>
      <c r="T56"/>
    </row>
    <row r="57" spans="1:20" x14ac:dyDescent="0.25">
      <c r="J57"/>
      <c r="K57"/>
      <c r="L57"/>
      <c r="M57"/>
      <c r="N57"/>
      <c r="O57"/>
      <c r="P57"/>
      <c r="Q57"/>
      <c r="R57"/>
      <c r="S57"/>
      <c r="T57"/>
    </row>
    <row r="58" spans="1:20" x14ac:dyDescent="0.25">
      <c r="J58"/>
      <c r="K58"/>
      <c r="L58"/>
      <c r="M58"/>
      <c r="N58"/>
      <c r="O58"/>
      <c r="P58"/>
      <c r="Q58"/>
      <c r="R58"/>
      <c r="S58"/>
      <c r="T58"/>
    </row>
    <row r="59" spans="1:20" x14ac:dyDescent="0.25">
      <c r="J59"/>
      <c r="K59"/>
      <c r="L59"/>
      <c r="M59"/>
      <c r="N59"/>
      <c r="O59"/>
      <c r="P59"/>
      <c r="Q59"/>
      <c r="R59"/>
      <c r="S59"/>
      <c r="T59"/>
    </row>
    <row r="60" spans="1:20" x14ac:dyDescent="0.25">
      <c r="J60"/>
      <c r="K60"/>
      <c r="L60"/>
      <c r="M60"/>
      <c r="N60"/>
      <c r="O60"/>
      <c r="P60"/>
      <c r="Q60"/>
      <c r="R60"/>
      <c r="S60"/>
      <c r="T60"/>
    </row>
    <row r="61" spans="1:20" x14ac:dyDescent="0.25">
      <c r="J61"/>
      <c r="K61"/>
      <c r="L61"/>
      <c r="M61"/>
      <c r="N61"/>
      <c r="O61"/>
      <c r="P61"/>
      <c r="Q61"/>
      <c r="R61"/>
      <c r="S61"/>
      <c r="T61"/>
    </row>
    <row r="62" spans="1:20" x14ac:dyDescent="0.25">
      <c r="J62"/>
      <c r="K62"/>
      <c r="L62"/>
      <c r="M62"/>
      <c r="N62"/>
      <c r="O62"/>
      <c r="P62"/>
      <c r="Q62"/>
      <c r="R62"/>
      <c r="S62"/>
      <c r="T62"/>
    </row>
    <row r="63" spans="1:20" x14ac:dyDescent="0.25">
      <c r="J63"/>
      <c r="K63"/>
      <c r="L63"/>
      <c r="M63"/>
      <c r="N63"/>
      <c r="O63"/>
      <c r="P63"/>
      <c r="Q63"/>
      <c r="R63"/>
      <c r="S63"/>
      <c r="T63"/>
    </row>
    <row r="64" spans="1:20" x14ac:dyDescent="0.25">
      <c r="J64" s="1"/>
      <c r="K64" s="1"/>
      <c r="L64" s="1"/>
      <c r="M64" s="1"/>
      <c r="N64" s="1"/>
      <c r="O64" s="1"/>
      <c r="P64" s="1"/>
      <c r="Q64" s="1"/>
      <c r="R64" s="1"/>
      <c r="S64" s="1"/>
      <c r="T64" s="1"/>
    </row>
    <row r="65" spans="10:20" x14ac:dyDescent="0.25">
      <c r="J65"/>
      <c r="K65"/>
      <c r="L65"/>
      <c r="M65"/>
      <c r="N65"/>
      <c r="O65"/>
      <c r="P65"/>
      <c r="Q65"/>
      <c r="R65"/>
      <c r="S65"/>
      <c r="T65"/>
    </row>
    <row r="66" spans="10:20" x14ac:dyDescent="0.25">
      <c r="J66"/>
      <c r="K66"/>
      <c r="L66"/>
      <c r="M66"/>
      <c r="N66"/>
      <c r="O66"/>
      <c r="P66"/>
      <c r="Q66"/>
      <c r="R66"/>
      <c r="S66"/>
      <c r="T66"/>
    </row>
    <row r="67" spans="10:20" x14ac:dyDescent="0.25">
      <c r="J67"/>
      <c r="K67"/>
      <c r="L67"/>
      <c r="M67"/>
      <c r="N67"/>
      <c r="O67"/>
      <c r="P67"/>
      <c r="Q67"/>
      <c r="R67"/>
      <c r="S67"/>
      <c r="T67"/>
    </row>
    <row r="68" spans="10:20" x14ac:dyDescent="0.25">
      <c r="J68"/>
      <c r="K68"/>
      <c r="L68"/>
      <c r="M68"/>
      <c r="N68"/>
      <c r="O68"/>
      <c r="P68"/>
      <c r="Q68"/>
      <c r="R68"/>
      <c r="S68"/>
      <c r="T68"/>
    </row>
    <row r="69" spans="10:20" x14ac:dyDescent="0.25">
      <c r="J69"/>
      <c r="K69"/>
      <c r="L69"/>
      <c r="M69"/>
      <c r="N69"/>
      <c r="O69"/>
      <c r="P69"/>
      <c r="Q69"/>
      <c r="R69"/>
      <c r="S69"/>
      <c r="T69"/>
    </row>
    <row r="70" spans="10:20" x14ac:dyDescent="0.25">
      <c r="J70"/>
      <c r="K70"/>
      <c r="L70"/>
      <c r="M70"/>
      <c r="N70"/>
      <c r="O70"/>
      <c r="P70"/>
      <c r="Q70"/>
      <c r="R70"/>
      <c r="S70"/>
      <c r="T70"/>
    </row>
    <row r="71" spans="10:20" x14ac:dyDescent="0.25">
      <c r="J71"/>
      <c r="K71"/>
      <c r="L71"/>
      <c r="M71"/>
      <c r="N71"/>
      <c r="O71"/>
      <c r="P71"/>
      <c r="Q71"/>
      <c r="R71"/>
      <c r="S71"/>
      <c r="T71"/>
    </row>
    <row r="72" spans="10:20" x14ac:dyDescent="0.25">
      <c r="J72"/>
      <c r="K72"/>
      <c r="L72"/>
      <c r="M72"/>
      <c r="N72"/>
      <c r="O72"/>
      <c r="P72"/>
      <c r="Q72"/>
      <c r="R72"/>
      <c r="S72"/>
      <c r="T72"/>
    </row>
    <row r="73" spans="10:20" x14ac:dyDescent="0.25">
      <c r="J73"/>
      <c r="K73"/>
      <c r="L73"/>
      <c r="M73"/>
      <c r="N73"/>
      <c r="O73"/>
      <c r="P73"/>
      <c r="Q73"/>
      <c r="R73"/>
      <c r="S73"/>
      <c r="T73"/>
    </row>
    <row r="74" spans="10:20" x14ac:dyDescent="0.25">
      <c r="J74"/>
      <c r="K74"/>
      <c r="L74"/>
      <c r="M74"/>
      <c r="N74"/>
      <c r="O74"/>
      <c r="P74"/>
      <c r="Q74"/>
      <c r="R74"/>
      <c r="S74"/>
      <c r="T74"/>
    </row>
    <row r="75" spans="10:20" x14ac:dyDescent="0.25">
      <c r="J75"/>
      <c r="K75"/>
      <c r="L75"/>
      <c r="M75"/>
      <c r="N75"/>
      <c r="O75"/>
      <c r="P75"/>
      <c r="Q75"/>
      <c r="R75"/>
      <c r="S75"/>
      <c r="T75"/>
    </row>
    <row r="76" spans="10:20" x14ac:dyDescent="0.25">
      <c r="J76"/>
      <c r="K76"/>
      <c r="L76"/>
      <c r="M76"/>
      <c r="N76"/>
      <c r="O76"/>
      <c r="P76"/>
      <c r="Q76"/>
      <c r="R76"/>
      <c r="S76"/>
      <c r="T76"/>
    </row>
    <row r="77" spans="10:20" x14ac:dyDescent="0.25">
      <c r="J77"/>
      <c r="K77"/>
      <c r="L77"/>
      <c r="M77"/>
      <c r="N77"/>
      <c r="O77"/>
      <c r="P77"/>
      <c r="Q77"/>
      <c r="R77"/>
      <c r="S77"/>
      <c r="T77"/>
    </row>
    <row r="78" spans="10:20" x14ac:dyDescent="0.25">
      <c r="J78"/>
      <c r="K78"/>
      <c r="L78"/>
      <c r="M78"/>
      <c r="N78"/>
      <c r="O78"/>
      <c r="P78"/>
      <c r="Q78"/>
      <c r="R78"/>
      <c r="S78"/>
      <c r="T78"/>
    </row>
    <row r="79" spans="10:20" x14ac:dyDescent="0.25">
      <c r="J79"/>
      <c r="K79"/>
      <c r="L79"/>
      <c r="M79"/>
      <c r="N79"/>
      <c r="O79"/>
      <c r="P79"/>
      <c r="Q79"/>
      <c r="R79"/>
      <c r="S79"/>
      <c r="T79"/>
    </row>
    <row r="80" spans="10:20" x14ac:dyDescent="0.25">
      <c r="J80"/>
      <c r="K80"/>
      <c r="L80"/>
      <c r="M80"/>
      <c r="N80"/>
      <c r="O80"/>
      <c r="P80"/>
      <c r="Q80"/>
      <c r="R80"/>
      <c r="S80"/>
      <c r="T80"/>
    </row>
    <row r="81" spans="10:20" x14ac:dyDescent="0.25">
      <c r="J81"/>
      <c r="K81"/>
      <c r="L81"/>
      <c r="M81"/>
      <c r="N81"/>
      <c r="O81"/>
      <c r="P81"/>
      <c r="Q81"/>
      <c r="R81"/>
      <c r="S81"/>
      <c r="T81"/>
    </row>
    <row r="82" spans="10:20" x14ac:dyDescent="0.25">
      <c r="J82"/>
      <c r="K82"/>
      <c r="L82"/>
      <c r="M82"/>
      <c r="N82"/>
      <c r="O82"/>
      <c r="P82"/>
      <c r="Q82"/>
      <c r="R82"/>
      <c r="S82"/>
      <c r="T82"/>
    </row>
    <row r="83" spans="10:20" x14ac:dyDescent="0.25">
      <c r="J83"/>
      <c r="K83"/>
      <c r="L83"/>
      <c r="M83"/>
      <c r="N83"/>
      <c r="O83"/>
      <c r="P83"/>
      <c r="Q83"/>
      <c r="R83"/>
      <c r="S83"/>
      <c r="T83"/>
    </row>
    <row r="84" spans="10:20" x14ac:dyDescent="0.25">
      <c r="J84"/>
      <c r="K84"/>
      <c r="L84"/>
      <c r="M84"/>
      <c r="N84"/>
      <c r="O84"/>
      <c r="P84"/>
      <c r="Q84"/>
      <c r="R84"/>
      <c r="S84"/>
      <c r="T84"/>
    </row>
    <row r="85" spans="10:20" x14ac:dyDescent="0.25">
      <c r="J85"/>
      <c r="K85"/>
      <c r="L85"/>
      <c r="M85"/>
      <c r="N85"/>
      <c r="O85"/>
      <c r="P85"/>
      <c r="Q85"/>
      <c r="R85"/>
      <c r="S85"/>
      <c r="T85"/>
    </row>
  </sheetData>
  <mergeCells count="1">
    <mergeCell ref="O1:P1"/>
  </mergeCells>
  <conditionalFormatting sqref="B1">
    <cfRule type="cellIs" dxfId="76" priority="1" operator="equal">
      <formula>"Incomplete"</formula>
    </cfRule>
    <cfRule type="cellIs" dxfId="75" priority="2" operator="equal">
      <formula>"Flag for Review"</formula>
    </cfRule>
    <cfRule type="cellIs" dxfId="74"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O1" location="'Point Grid'!A8" display="Return to Point Grid"/>
    <hyperlink ref="O1:P1" location="'Point Grid'!A1" display="Return to Point Gri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O27"/>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41" x14ac:dyDescent="0.25">
      <c r="A1" s="7">
        <v>10</v>
      </c>
      <c r="B1" s="41" t="s">
        <v>12</v>
      </c>
      <c r="C1" s="28"/>
      <c r="D1" s="28"/>
      <c r="E1" s="28"/>
      <c r="F1" s="28"/>
      <c r="G1" s="28"/>
      <c r="H1" s="388" t="s">
        <v>30</v>
      </c>
      <c r="I1" s="390"/>
      <c r="K1" s="29" t="s">
        <v>54</v>
      </c>
      <c r="L1" s="70" t="s">
        <v>872</v>
      </c>
    </row>
    <row r="2" spans="1:41" x14ac:dyDescent="0.25">
      <c r="A2" s="30"/>
      <c r="B2" s="27"/>
      <c r="C2" s="27"/>
      <c r="D2" s="27"/>
      <c r="E2" s="27"/>
      <c r="F2" s="27"/>
      <c r="G2" s="27"/>
      <c r="H2" s="27"/>
      <c r="I2" s="31"/>
    </row>
    <row r="3" spans="1:41" x14ac:dyDescent="0.25">
      <c r="A3" s="8" t="s">
        <v>13</v>
      </c>
      <c r="B3" s="27"/>
      <c r="C3" s="27"/>
      <c r="D3" s="27"/>
      <c r="E3" s="27"/>
      <c r="F3" s="27"/>
      <c r="G3" s="27"/>
      <c r="H3" s="27"/>
      <c r="I3" s="31"/>
    </row>
    <row r="4" spans="1:41" x14ac:dyDescent="0.25">
      <c r="A4" s="9">
        <f>INDEX('Point Grid'!B:B,MATCH($A$1,'Point Grid'!A:A,0))</f>
        <v>1</v>
      </c>
      <c r="B4" s="27"/>
      <c r="C4" s="27"/>
      <c r="D4" s="27"/>
      <c r="E4" s="27"/>
      <c r="F4" s="27"/>
      <c r="G4" s="27"/>
      <c r="H4" s="27"/>
      <c r="I4" s="31"/>
      <c r="K4" s="57" t="s">
        <v>2</v>
      </c>
      <c r="L4" s="29" t="s">
        <v>388</v>
      </c>
      <c r="N4" s="163" t="s">
        <v>562</v>
      </c>
    </row>
    <row r="5" spans="1:41" x14ac:dyDescent="0.25">
      <c r="A5" s="30"/>
      <c r="B5" s="27"/>
      <c r="C5" s="27"/>
      <c r="D5" s="27"/>
      <c r="E5" s="27"/>
      <c r="F5" s="27"/>
      <c r="G5" s="27"/>
      <c r="H5" s="27"/>
      <c r="I5" s="31"/>
    </row>
    <row r="6" spans="1:41" x14ac:dyDescent="0.25">
      <c r="A6" s="35" t="s">
        <v>2</v>
      </c>
      <c r="B6" s="46" t="s">
        <v>387</v>
      </c>
      <c r="C6" s="44"/>
      <c r="D6" s="44"/>
      <c r="E6" s="44"/>
      <c r="F6" s="44"/>
      <c r="G6" s="44"/>
      <c r="H6" s="44"/>
      <c r="I6" s="31"/>
      <c r="J6" s="42"/>
      <c r="K6" s="42"/>
      <c r="L6" s="42" t="s">
        <v>389</v>
      </c>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row>
    <row r="7" spans="1:41" ht="15.75" thickBot="1" x14ac:dyDescent="0.3">
      <c r="A7" s="9">
        <f>INDEX('Point Grid'!$C$8:$I$35,MATCH($A$1,'Point Grid'!$A$8:$A$35,0),MATCH(A6,'Point Grid'!$C$7:$I$7,0))</f>
        <v>1</v>
      </c>
      <c r="B7" s="45"/>
      <c r="C7" s="45"/>
      <c r="D7" s="45"/>
      <c r="E7" s="45"/>
      <c r="F7" s="45"/>
      <c r="G7" s="45"/>
      <c r="H7" s="45"/>
      <c r="I7" s="31"/>
      <c r="J7" s="43"/>
      <c r="K7" s="43"/>
      <c r="L7" s="43" t="s">
        <v>390</v>
      </c>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ht="15.75" thickBot="1" x14ac:dyDescent="0.3">
      <c r="A8" s="5"/>
      <c r="B8" s="45"/>
      <c r="C8" s="45"/>
      <c r="D8" s="45"/>
      <c r="E8" s="45"/>
      <c r="F8" s="45"/>
      <c r="G8" s="45"/>
      <c r="H8" s="45"/>
      <c r="I8" s="31"/>
      <c r="J8" s="43"/>
      <c r="K8" s="43"/>
      <c r="L8" s="43" t="s">
        <v>391</v>
      </c>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x14ac:dyDescent="0.25">
      <c r="A9" s="30"/>
      <c r="B9" s="44"/>
      <c r="C9" s="44"/>
      <c r="D9" s="44"/>
      <c r="E9" s="44"/>
      <c r="F9" s="44"/>
      <c r="G9" s="44"/>
      <c r="H9" s="44"/>
      <c r="I9" s="31"/>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row>
    <row r="10" spans="1:41" x14ac:dyDescent="0.25">
      <c r="A10" s="30"/>
      <c r="B10" s="27"/>
      <c r="C10" s="27"/>
      <c r="D10" s="27"/>
      <c r="E10" s="27"/>
      <c r="F10" s="27"/>
      <c r="G10" s="27"/>
      <c r="H10" s="27"/>
      <c r="I10" s="31"/>
      <c r="J10" s="42"/>
      <c r="K10" s="42"/>
      <c r="L10" s="42" t="s">
        <v>395</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row>
    <row r="11" spans="1:41" ht="15.75" thickBot="1" x14ac:dyDescent="0.3">
      <c r="A11" s="32"/>
      <c r="B11" s="33"/>
      <c r="C11" s="33"/>
      <c r="D11" s="33"/>
      <c r="E11" s="33"/>
      <c r="F11" s="33"/>
      <c r="G11" s="33"/>
      <c r="H11" s="33"/>
      <c r="I11" s="34"/>
      <c r="L11" s="29" t="s">
        <v>396</v>
      </c>
    </row>
    <row r="12" spans="1:41" x14ac:dyDescent="0.25">
      <c r="L12" s="29" t="s">
        <v>397</v>
      </c>
    </row>
    <row r="14" spans="1:41" x14ac:dyDescent="0.25">
      <c r="L14" s="29" t="s">
        <v>398</v>
      </c>
    </row>
    <row r="15" spans="1:41" x14ac:dyDescent="0.25">
      <c r="L15" s="29" t="s">
        <v>399</v>
      </c>
    </row>
    <row r="17" spans="11:12" x14ac:dyDescent="0.25">
      <c r="L17" s="29" t="s">
        <v>400</v>
      </c>
    </row>
    <row r="18" spans="11:12" x14ac:dyDescent="0.25">
      <c r="L18" s="29" t="s">
        <v>401</v>
      </c>
    </row>
    <row r="20" spans="11:12" x14ac:dyDescent="0.25">
      <c r="L20" s="29" t="s">
        <v>402</v>
      </c>
    </row>
    <row r="21" spans="11:12" x14ac:dyDescent="0.25">
      <c r="L21" s="29" t="s">
        <v>403</v>
      </c>
    </row>
    <row r="24" spans="11:12" x14ac:dyDescent="0.25">
      <c r="K24" s="225" t="s">
        <v>192</v>
      </c>
      <c r="L24" s="125" t="s">
        <v>404</v>
      </c>
    </row>
    <row r="25" spans="11:12" x14ac:dyDescent="0.25">
      <c r="L25" s="125" t="s">
        <v>392</v>
      </c>
    </row>
    <row r="26" spans="11:12" x14ac:dyDescent="0.25">
      <c r="L26" s="125" t="s">
        <v>393</v>
      </c>
    </row>
    <row r="27" spans="11:12" x14ac:dyDescent="0.25">
      <c r="L27" s="125" t="s">
        <v>394</v>
      </c>
    </row>
  </sheetData>
  <mergeCells count="1">
    <mergeCell ref="H1:I1"/>
  </mergeCells>
  <conditionalFormatting sqref="B1">
    <cfRule type="cellIs" dxfId="73" priority="1" operator="equal">
      <formula>"Incomplete"</formula>
    </cfRule>
    <cfRule type="cellIs" dxfId="72" priority="2" operator="equal">
      <formula>"Flag for Review"</formula>
    </cfRule>
    <cfRule type="cellIs" dxfId="71"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workbookViewId="0"/>
  </sheetViews>
  <sheetFormatPr defaultColWidth="9.140625" defaultRowHeight="15" x14ac:dyDescent="0.25"/>
  <cols>
    <col min="1" max="1" width="8.7109375" style="29" customWidth="1"/>
    <col min="2" max="2" width="20.7109375" style="29" customWidth="1"/>
    <col min="3" max="8" width="9.42578125" style="29" customWidth="1"/>
    <col min="9" max="9" width="36.7109375" style="29" customWidth="1"/>
    <col min="10" max="10" width="10.7109375" style="29" customWidth="1"/>
    <col min="11" max="19" width="9.140625" style="29"/>
    <col min="20" max="20" width="12.7109375" style="29" customWidth="1"/>
    <col min="21" max="16384" width="9.140625" style="29"/>
  </cols>
  <sheetData>
    <row r="1" spans="1:25" ht="15" customHeight="1" x14ac:dyDescent="0.25">
      <c r="A1" s="7">
        <v>11</v>
      </c>
      <c r="B1" s="41" t="s">
        <v>12</v>
      </c>
      <c r="C1" s="28"/>
      <c r="D1" s="28"/>
      <c r="E1" s="28"/>
      <c r="F1" s="28"/>
      <c r="G1" s="28"/>
      <c r="H1" s="28"/>
      <c r="I1" s="28"/>
      <c r="J1" s="28"/>
      <c r="K1" s="388" t="s">
        <v>30</v>
      </c>
      <c r="L1" s="390"/>
      <c r="N1" s="29" t="s">
        <v>54</v>
      </c>
      <c r="O1" s="70" t="s">
        <v>873</v>
      </c>
    </row>
    <row r="2" spans="1:25" ht="15" customHeight="1" x14ac:dyDescent="0.25">
      <c r="A2" s="30"/>
      <c r="B2" s="27"/>
      <c r="C2" s="27"/>
      <c r="D2" s="27"/>
      <c r="E2" s="27"/>
      <c r="F2" s="27"/>
      <c r="G2" s="27"/>
      <c r="H2" s="36"/>
      <c r="I2" s="36"/>
      <c r="J2" s="36"/>
      <c r="K2" s="27"/>
      <c r="L2" s="31"/>
    </row>
    <row r="3" spans="1:25" ht="15" customHeight="1" x14ac:dyDescent="0.25">
      <c r="A3" s="8" t="s">
        <v>13</v>
      </c>
      <c r="B3" s="27"/>
      <c r="C3" s="27"/>
      <c r="D3" s="27"/>
      <c r="E3" s="27"/>
      <c r="F3" s="27"/>
      <c r="G3" s="27"/>
      <c r="H3" s="36"/>
      <c r="I3" s="36"/>
      <c r="J3" s="36"/>
      <c r="K3" s="27"/>
      <c r="L3" s="31"/>
    </row>
    <row r="4" spans="1:25" ht="15" customHeight="1" x14ac:dyDescent="0.25">
      <c r="A4" s="9">
        <f>INDEX('Point Grid'!B:B,MATCH($A$1,'Point Grid'!A:A,0))</f>
        <v>2</v>
      </c>
      <c r="B4" s="324" t="s">
        <v>760</v>
      </c>
      <c r="C4" s="27"/>
      <c r="D4" s="27"/>
      <c r="E4" s="27"/>
      <c r="F4" s="27"/>
      <c r="G4" s="27"/>
      <c r="H4" s="36"/>
      <c r="I4" s="36"/>
      <c r="J4" s="36"/>
      <c r="K4" s="27"/>
      <c r="L4" s="31"/>
      <c r="M4"/>
      <c r="N4" s="141" t="s">
        <v>2</v>
      </c>
      <c r="O4" s="295" t="s">
        <v>692</v>
      </c>
      <c r="P4" s="295"/>
      <c r="Q4" s="102"/>
      <c r="R4" s="102"/>
      <c r="S4" s="102"/>
      <c r="T4" s="102"/>
      <c r="U4" s="102"/>
      <c r="V4" s="102"/>
      <c r="W4" s="102"/>
      <c r="X4" s="102"/>
      <c r="Y4" s="102"/>
    </row>
    <row r="5" spans="1:25" ht="15" customHeight="1" x14ac:dyDescent="0.25">
      <c r="A5" s="30"/>
      <c r="B5" s="27"/>
      <c r="C5" s="27"/>
      <c r="D5" s="27"/>
      <c r="E5" s="27"/>
      <c r="F5" s="27"/>
      <c r="G5" s="27"/>
      <c r="H5" s="36"/>
      <c r="I5" s="36"/>
      <c r="J5" s="36"/>
      <c r="K5" s="27"/>
      <c r="L5" s="31"/>
      <c r="M5"/>
      <c r="N5" s="102"/>
      <c r="O5" s="247" t="s">
        <v>113</v>
      </c>
      <c r="P5" s="142" t="s">
        <v>118</v>
      </c>
      <c r="Q5" s="247" t="s">
        <v>250</v>
      </c>
      <c r="R5" s="142" t="s">
        <v>726</v>
      </c>
      <c r="S5" s="142" t="s">
        <v>250</v>
      </c>
      <c r="T5" s="142" t="s">
        <v>739</v>
      </c>
      <c r="U5" s="142" t="s">
        <v>250</v>
      </c>
      <c r="V5" s="142" t="s">
        <v>741</v>
      </c>
      <c r="W5" s="102"/>
      <c r="X5" s="102"/>
      <c r="Y5" s="102"/>
    </row>
    <row r="6" spans="1:25" ht="15" customHeight="1" x14ac:dyDescent="0.25">
      <c r="A6" s="35" t="s">
        <v>2</v>
      </c>
      <c r="B6" s="27" t="s">
        <v>697</v>
      </c>
      <c r="C6" s="27"/>
      <c r="D6" s="27"/>
      <c r="E6" s="27"/>
      <c r="F6" s="27"/>
      <c r="G6" s="27"/>
      <c r="H6" s="36"/>
      <c r="I6" s="36"/>
      <c r="J6" s="36"/>
      <c r="K6" s="27"/>
      <c r="L6" s="31"/>
      <c r="M6"/>
      <c r="N6" s="102"/>
      <c r="O6" s="247" t="s">
        <v>113</v>
      </c>
      <c r="P6" s="142">
        <f>J35</f>
        <v>541970</v>
      </c>
      <c r="Q6" s="247" t="s">
        <v>250</v>
      </c>
      <c r="R6" s="142">
        <f>J36</f>
        <v>108394</v>
      </c>
      <c r="S6" s="142" t="s">
        <v>250</v>
      </c>
      <c r="T6" s="142">
        <f>J46</f>
        <v>70456</v>
      </c>
      <c r="U6" s="142" t="s">
        <v>250</v>
      </c>
      <c r="V6" s="142">
        <f>J47</f>
        <v>37938</v>
      </c>
      <c r="W6" s="102"/>
      <c r="X6" s="102"/>
      <c r="Y6" s="102"/>
    </row>
    <row r="7" spans="1:25" ht="15" customHeight="1" thickBot="1" x14ac:dyDescent="0.3">
      <c r="A7" s="9">
        <f>INDEX('Point Grid'!$C$8:$I$35,MATCH($A$1,'Point Grid'!$A$8:$A$35,0),MATCH(A6,'Point Grid'!$C$7:$I$7,0))</f>
        <v>0.25</v>
      </c>
      <c r="B7" s="27"/>
      <c r="C7" s="27"/>
      <c r="D7" s="27"/>
      <c r="E7" s="27"/>
      <c r="F7" s="27"/>
      <c r="G7" s="27"/>
      <c r="H7" s="36"/>
      <c r="I7" s="36"/>
      <c r="J7" s="36"/>
      <c r="K7" s="27"/>
      <c r="L7" s="31"/>
      <c r="N7" s="102"/>
      <c r="O7" s="247" t="s">
        <v>113</v>
      </c>
      <c r="P7" s="296">
        <f>P6-R6-T6-V6</f>
        <v>325182</v>
      </c>
      <c r="Q7" s="102"/>
      <c r="R7" s="102"/>
      <c r="S7" s="102"/>
      <c r="T7" s="102"/>
      <c r="U7" s="102"/>
      <c r="V7" s="102"/>
      <c r="W7" s="102"/>
      <c r="X7" s="102"/>
      <c r="Y7" s="102"/>
    </row>
    <row r="8" spans="1:25" ht="15" customHeight="1" thickBot="1" x14ac:dyDescent="0.3">
      <c r="A8" s="5"/>
      <c r="B8" s="27"/>
      <c r="C8" s="27"/>
      <c r="D8" s="27"/>
      <c r="E8" s="27"/>
      <c r="F8" s="27"/>
      <c r="G8" s="27"/>
      <c r="H8" s="36"/>
      <c r="I8" s="36"/>
      <c r="J8" s="36"/>
      <c r="K8" s="27"/>
      <c r="L8" s="31"/>
      <c r="N8" s="102"/>
      <c r="O8" s="102"/>
      <c r="P8" s="102"/>
      <c r="Q8" s="102"/>
      <c r="R8" s="102"/>
      <c r="S8" s="102"/>
      <c r="T8" s="102"/>
      <c r="U8" s="102"/>
      <c r="V8" s="102"/>
      <c r="W8" s="102"/>
      <c r="X8" s="102"/>
      <c r="Y8" s="102"/>
    </row>
    <row r="9" spans="1:25" ht="15" customHeight="1" x14ac:dyDescent="0.25">
      <c r="A9" s="36"/>
      <c r="B9" s="27"/>
      <c r="C9" s="27"/>
      <c r="D9" s="27"/>
      <c r="E9" s="27"/>
      <c r="F9" s="27"/>
      <c r="G9" s="27"/>
      <c r="H9" s="36"/>
      <c r="I9" s="36"/>
      <c r="J9" s="36"/>
      <c r="K9" s="27"/>
      <c r="L9" s="31"/>
      <c r="N9" s="141" t="s">
        <v>3</v>
      </c>
      <c r="O9" s="268" t="s">
        <v>693</v>
      </c>
      <c r="P9" s="268"/>
      <c r="Q9" s="102"/>
      <c r="R9" s="102"/>
      <c r="S9" s="102"/>
      <c r="T9" s="102"/>
      <c r="U9" s="102"/>
      <c r="V9" s="102"/>
      <c r="W9" s="102"/>
      <c r="X9" s="102"/>
      <c r="Y9" s="102"/>
    </row>
    <row r="10" spans="1:25" ht="15" customHeight="1" x14ac:dyDescent="0.25">
      <c r="A10" s="35" t="s">
        <v>3</v>
      </c>
      <c r="B10" s="27" t="s">
        <v>698</v>
      </c>
      <c r="C10" s="27"/>
      <c r="D10" s="27"/>
      <c r="E10" s="27"/>
      <c r="F10" s="27"/>
      <c r="G10" s="27"/>
      <c r="H10" s="36"/>
      <c r="I10" s="36"/>
      <c r="J10" s="36"/>
      <c r="K10" s="27"/>
      <c r="L10" s="31"/>
      <c r="N10"/>
      <c r="O10"/>
      <c r="P10"/>
      <c r="Q10"/>
      <c r="R10"/>
      <c r="S10"/>
      <c r="T10"/>
      <c r="U10"/>
      <c r="V10"/>
      <c r="W10"/>
      <c r="X10"/>
      <c r="Y10"/>
    </row>
    <row r="11" spans="1:25" ht="15" customHeight="1" thickBot="1" x14ac:dyDescent="0.3">
      <c r="A11" s="9">
        <f>INDEX('Point Grid'!$C$8:$I$35,MATCH($A$1,'Point Grid'!$A$8:$A$35,0),MATCH(A10,'Point Grid'!$C$7:$I$7,0))</f>
        <v>0.5</v>
      </c>
      <c r="B11" s="27"/>
      <c r="C11" s="27"/>
      <c r="D11" s="27"/>
      <c r="E11" s="27"/>
      <c r="F11" s="27"/>
      <c r="G11" s="27"/>
      <c r="H11" s="36"/>
      <c r="I11" s="36"/>
      <c r="J11" s="36"/>
      <c r="K11" s="27"/>
      <c r="L11" s="31"/>
      <c r="N11" s="102"/>
      <c r="O11" s="247" t="s">
        <v>113</v>
      </c>
      <c r="P11" s="242" t="s">
        <v>747</v>
      </c>
      <c r="Q11" s="242" t="s">
        <v>120</v>
      </c>
      <c r="R11" s="242" t="s">
        <v>126</v>
      </c>
      <c r="S11" s="242" t="s">
        <v>733</v>
      </c>
      <c r="T11" s="242" t="s">
        <v>748</v>
      </c>
      <c r="U11" s="297"/>
      <c r="V11" s="170"/>
      <c r="W11" s="170"/>
      <c r="X11" s="170"/>
      <c r="Y11" s="102"/>
    </row>
    <row r="12" spans="1:25" ht="15" customHeight="1" thickBot="1" x14ac:dyDescent="0.3">
      <c r="A12" s="5"/>
      <c r="B12" s="27"/>
      <c r="C12" s="27"/>
      <c r="D12" s="27"/>
      <c r="E12" s="27"/>
      <c r="F12" s="27"/>
      <c r="G12" s="27"/>
      <c r="H12" s="36"/>
      <c r="I12" s="36"/>
      <c r="J12" s="36"/>
      <c r="K12" s="27"/>
      <c r="L12" s="31"/>
      <c r="N12" s="102"/>
      <c r="O12" s="102"/>
      <c r="P12" s="142" t="s">
        <v>125</v>
      </c>
      <c r="Q12" s="142" t="s">
        <v>720</v>
      </c>
      <c r="R12" s="142" t="s">
        <v>126</v>
      </c>
      <c r="S12" s="142" t="s">
        <v>719</v>
      </c>
      <c r="T12" s="142" t="s">
        <v>250</v>
      </c>
      <c r="U12" s="142" t="s">
        <v>120</v>
      </c>
      <c r="V12" s="142" t="s">
        <v>250</v>
      </c>
      <c r="W12" s="142" t="s">
        <v>733</v>
      </c>
      <c r="X12" s="142" t="s">
        <v>127</v>
      </c>
      <c r="Y12" s="102"/>
    </row>
    <row r="13" spans="1:25" ht="15" customHeight="1" x14ac:dyDescent="0.25">
      <c r="A13" s="36"/>
      <c r="B13" s="27"/>
      <c r="C13" s="27"/>
      <c r="D13" s="27"/>
      <c r="E13" s="27"/>
      <c r="F13" s="27"/>
      <c r="G13" s="27"/>
      <c r="H13" s="36"/>
      <c r="I13" s="36"/>
      <c r="J13" s="36"/>
      <c r="K13" s="27"/>
      <c r="L13" s="31"/>
      <c r="N13" s="102"/>
      <c r="O13" s="102"/>
      <c r="P13" s="102"/>
      <c r="Q13" s="102"/>
      <c r="R13" s="102"/>
      <c r="S13" s="102"/>
      <c r="T13" s="102"/>
      <c r="U13" s="102"/>
      <c r="V13" s="102"/>
      <c r="W13" s="102"/>
      <c r="X13" s="102"/>
      <c r="Y13" s="102"/>
    </row>
    <row r="14" spans="1:25" ht="15" customHeight="1" x14ac:dyDescent="0.25">
      <c r="A14" s="35" t="s">
        <v>4</v>
      </c>
      <c r="B14" s="27" t="s">
        <v>699</v>
      </c>
      <c r="C14" s="27"/>
      <c r="D14" s="27"/>
      <c r="E14" s="27"/>
      <c r="F14" s="27"/>
      <c r="G14" s="27"/>
      <c r="H14" s="36"/>
      <c r="I14" s="36"/>
      <c r="J14" s="36"/>
      <c r="K14" s="27"/>
      <c r="L14" s="31"/>
      <c r="N14" s="102"/>
      <c r="O14" s="247" t="s">
        <v>113</v>
      </c>
      <c r="P14" s="242" t="s">
        <v>747</v>
      </c>
      <c r="Q14" s="242">
        <f>J40</f>
        <v>11783</v>
      </c>
      <c r="R14" s="242" t="s">
        <v>126</v>
      </c>
      <c r="S14" s="242">
        <f>J41</f>
        <v>1309</v>
      </c>
      <c r="T14" s="242" t="s">
        <v>748</v>
      </c>
      <c r="U14" s="297"/>
      <c r="V14" s="170"/>
      <c r="W14" s="170"/>
      <c r="X14" s="170"/>
      <c r="Y14" s="102"/>
    </row>
    <row r="15" spans="1:25" ht="15" customHeight="1" thickBot="1" x14ac:dyDescent="0.3">
      <c r="A15" s="9">
        <f>INDEX('Point Grid'!$C$8:$I$35,MATCH($A$1,'Point Grid'!$A$8:$A$35,0),MATCH(A14,'Point Grid'!$C$7:$I$7,0))</f>
        <v>0.5</v>
      </c>
      <c r="B15" s="27"/>
      <c r="C15" s="27"/>
      <c r="D15" s="27"/>
      <c r="E15" s="27"/>
      <c r="F15" s="27"/>
      <c r="G15" s="27"/>
      <c r="H15" s="36"/>
      <c r="I15" s="36"/>
      <c r="J15" s="36"/>
      <c r="K15" s="27"/>
      <c r="L15" s="31"/>
      <c r="N15" s="102"/>
      <c r="O15" s="102"/>
      <c r="P15" s="142" t="s">
        <v>125</v>
      </c>
      <c r="Q15" s="142">
        <f>SUM(K28:K30)</f>
        <v>183469</v>
      </c>
      <c r="R15" s="142" t="s">
        <v>126</v>
      </c>
      <c r="S15" s="142">
        <f>SUM(J28:J30)</f>
        <v>178750</v>
      </c>
      <c r="T15" s="142" t="s">
        <v>250</v>
      </c>
      <c r="U15" s="142">
        <f>J40</f>
        <v>11783</v>
      </c>
      <c r="V15" s="142" t="s">
        <v>250</v>
      </c>
      <c r="W15" s="142">
        <f>J41</f>
        <v>1309</v>
      </c>
      <c r="X15" s="142" t="s">
        <v>127</v>
      </c>
      <c r="Y15" s="102"/>
    </row>
    <row r="16" spans="1:25" ht="15" customHeight="1" thickBot="1" x14ac:dyDescent="0.3">
      <c r="A16" s="5"/>
      <c r="B16" s="27"/>
      <c r="C16" s="27"/>
      <c r="D16" s="27"/>
      <c r="E16" s="27"/>
      <c r="F16" s="27"/>
      <c r="G16" s="27"/>
      <c r="H16" s="36"/>
      <c r="I16" s="36"/>
      <c r="J16" s="36"/>
      <c r="K16" s="27"/>
      <c r="L16" s="31"/>
      <c r="N16" s="102"/>
      <c r="O16" s="102"/>
      <c r="P16" s="102"/>
      <c r="Q16" s="102"/>
      <c r="R16" s="102"/>
      <c r="S16" s="102"/>
      <c r="T16" s="102"/>
      <c r="U16" s="102"/>
      <c r="V16" s="102"/>
      <c r="W16" s="102"/>
      <c r="X16" s="102"/>
      <c r="Y16" s="102"/>
    </row>
    <row r="17" spans="1:25" ht="15" customHeight="1" x14ac:dyDescent="0.25">
      <c r="A17" s="36"/>
      <c r="B17" s="27"/>
      <c r="C17" s="27"/>
      <c r="D17" s="27"/>
      <c r="E17" s="27"/>
      <c r="F17" s="27"/>
      <c r="G17" s="27"/>
      <c r="H17" s="36"/>
      <c r="I17" s="36"/>
      <c r="J17" s="36"/>
      <c r="K17" s="27"/>
      <c r="L17" s="31"/>
      <c r="M17"/>
      <c r="N17" s="102"/>
      <c r="O17" s="247" t="s">
        <v>113</v>
      </c>
      <c r="P17" s="298">
        <f>2*(Q14+S14)*100 / (Q15+S15-U15-W15)</f>
        <v>7.4998496249215902</v>
      </c>
      <c r="Q17" s="270" t="s">
        <v>295</v>
      </c>
      <c r="R17" s="263" t="s">
        <v>749</v>
      </c>
      <c r="S17" s="102"/>
      <c r="T17" s="102"/>
      <c r="U17" s="102"/>
      <c r="V17" s="102"/>
      <c r="W17" s="102"/>
      <c r="X17" s="102"/>
      <c r="Y17" s="102"/>
    </row>
    <row r="18" spans="1:25" ht="15" customHeight="1" x14ac:dyDescent="0.25">
      <c r="A18" s="35" t="s">
        <v>5</v>
      </c>
      <c r="B18" s="27" t="s">
        <v>700</v>
      </c>
      <c r="C18" s="27"/>
      <c r="D18" s="27"/>
      <c r="E18" s="27"/>
      <c r="F18" s="27"/>
      <c r="G18" s="27"/>
      <c r="H18" s="36"/>
      <c r="I18" s="36"/>
      <c r="J18" s="36"/>
      <c r="K18" s="27"/>
      <c r="L18" s="31"/>
      <c r="M18"/>
      <c r="N18" s="102"/>
      <c r="O18" s="102"/>
      <c r="P18" s="102"/>
      <c r="Q18" s="102"/>
      <c r="R18" s="102"/>
      <c r="S18" s="102"/>
      <c r="T18" s="102"/>
      <c r="U18" s="102"/>
      <c r="V18" s="102"/>
      <c r="W18" s="102"/>
      <c r="X18" s="102"/>
      <c r="Y18" s="102"/>
    </row>
    <row r="19" spans="1:25" ht="15" customHeight="1" thickBot="1" x14ac:dyDescent="0.3">
      <c r="A19" s="9">
        <f>INDEX('Point Grid'!$C$8:$I$35,MATCH($A$1,'Point Grid'!$A$8:$A$35,0),MATCH(A18,'Point Grid'!$C$7:$I$7,0))</f>
        <v>0.5</v>
      </c>
      <c r="B19" s="27" t="s">
        <v>701</v>
      </c>
      <c r="C19" s="27"/>
      <c r="D19" s="27"/>
      <c r="E19" s="27"/>
      <c r="F19" s="27"/>
      <c r="G19" s="27"/>
      <c r="H19" s="36"/>
      <c r="I19" s="36"/>
      <c r="J19" s="36"/>
      <c r="K19" s="27"/>
      <c r="L19" s="31"/>
      <c r="M19"/>
      <c r="N19" s="141" t="s">
        <v>4</v>
      </c>
      <c r="O19" s="299" t="s">
        <v>694</v>
      </c>
      <c r="P19" s="299"/>
      <c r="Q19" s="102"/>
      <c r="R19" s="102"/>
      <c r="S19" s="102"/>
      <c r="T19" s="102"/>
      <c r="U19" s="102"/>
      <c r="V19"/>
      <c r="W19" s="102"/>
      <c r="X19" s="102"/>
      <c r="Y19" s="102"/>
    </row>
    <row r="20" spans="1:25" ht="15" customHeight="1" thickBot="1" x14ac:dyDescent="0.3">
      <c r="A20" s="5"/>
      <c r="B20" s="27"/>
      <c r="C20" s="27"/>
      <c r="D20" s="27"/>
      <c r="E20" s="27"/>
      <c r="F20" s="27"/>
      <c r="G20" s="27"/>
      <c r="H20" s="36"/>
      <c r="I20" s="36"/>
      <c r="J20" s="36"/>
      <c r="K20" s="27"/>
      <c r="L20" s="31"/>
      <c r="M20"/>
      <c r="N20" s="102"/>
      <c r="O20"/>
      <c r="P20"/>
      <c r="Q20"/>
      <c r="R20"/>
      <c r="S20"/>
      <c r="T20"/>
      <c r="U20"/>
      <c r="V20" s="300" t="s">
        <v>192</v>
      </c>
      <c r="W20"/>
      <c r="X20"/>
      <c r="Y20"/>
    </row>
    <row r="21" spans="1:25" ht="15" customHeight="1" x14ac:dyDescent="0.25">
      <c r="A21" s="36"/>
      <c r="B21" s="27"/>
      <c r="C21" s="27"/>
      <c r="D21" s="27"/>
      <c r="E21" s="27"/>
      <c r="F21" s="27"/>
      <c r="G21" s="27"/>
      <c r="H21" s="36"/>
      <c r="I21" s="36"/>
      <c r="J21" s="36"/>
      <c r="K21" s="27"/>
      <c r="L21" s="31"/>
      <c r="M21"/>
      <c r="N21" s="102"/>
      <c r="O21" s="247" t="s">
        <v>113</v>
      </c>
      <c r="P21" s="242" t="s">
        <v>750</v>
      </c>
      <c r="Q21" s="242" t="s">
        <v>419</v>
      </c>
      <c r="R21" s="242" t="s">
        <v>751</v>
      </c>
      <c r="S21" s="242"/>
      <c r="T21" s="242"/>
      <c r="U21" s="102"/>
      <c r="V21" s="301" t="s">
        <v>752</v>
      </c>
      <c r="W21" s="302" t="s">
        <v>753</v>
      </c>
      <c r="X21" s="303"/>
      <c r="Y21" s="304" t="s">
        <v>754</v>
      </c>
    </row>
    <row r="22" spans="1:25" ht="15" customHeight="1" x14ac:dyDescent="0.25">
      <c r="A22" s="35" t="s">
        <v>6</v>
      </c>
      <c r="B22" s="27" t="s">
        <v>702</v>
      </c>
      <c r="C22" s="27"/>
      <c r="D22" s="27"/>
      <c r="E22" s="27"/>
      <c r="F22" s="27"/>
      <c r="G22" s="27"/>
      <c r="H22" s="36"/>
      <c r="I22" s="36"/>
      <c r="J22" s="36"/>
      <c r="K22" s="27"/>
      <c r="L22" s="31"/>
      <c r="M22"/>
      <c r="N22" s="102"/>
      <c r="O22" s="102"/>
      <c r="P22" s="142" t="s">
        <v>125</v>
      </c>
      <c r="Q22" s="142" t="s">
        <v>752</v>
      </c>
      <c r="R22" s="142" t="s">
        <v>126</v>
      </c>
      <c r="S22" s="142" t="s">
        <v>755</v>
      </c>
      <c r="T22" s="142" t="s">
        <v>127</v>
      </c>
      <c r="U22" s="102"/>
      <c r="V22" s="305" t="s">
        <v>756</v>
      </c>
      <c r="W22" s="306" t="s">
        <v>753</v>
      </c>
      <c r="X22" s="307"/>
      <c r="Y22" s="308" t="s">
        <v>757</v>
      </c>
    </row>
    <row r="23" spans="1:25" ht="15" customHeight="1" thickBot="1" x14ac:dyDescent="0.3">
      <c r="A23" s="9">
        <f>INDEX('Point Grid'!$C$8:$I$35,MATCH($A$1,'Point Grid'!$A$8:$A$35,0),MATCH(A22,'Point Grid'!$C$7:$I$7,0))</f>
        <v>0.25</v>
      </c>
      <c r="B23" s="27" t="s">
        <v>703</v>
      </c>
      <c r="C23" s="27"/>
      <c r="D23" s="27"/>
      <c r="E23" s="27"/>
      <c r="F23" s="27"/>
      <c r="G23" s="27"/>
      <c r="H23" s="36"/>
      <c r="I23" s="36"/>
      <c r="J23" s="36"/>
      <c r="K23" s="27"/>
      <c r="L23" s="31"/>
      <c r="M23"/>
      <c r="N23" s="102"/>
      <c r="O23" s="102"/>
      <c r="P23" s="102"/>
      <c r="Q23" s="102"/>
      <c r="R23" s="102"/>
      <c r="S23" s="102"/>
      <c r="T23" s="102"/>
      <c r="U23" s="102"/>
      <c r="V23" s="102"/>
      <c r="W23" s="102"/>
      <c r="X23" s="102"/>
      <c r="Y23" s="102"/>
    </row>
    <row r="24" spans="1:25" ht="15" customHeight="1" thickBot="1" x14ac:dyDescent="0.3">
      <c r="A24" s="5"/>
      <c r="B24" s="27"/>
      <c r="C24" s="27"/>
      <c r="D24" s="27"/>
      <c r="E24" s="27"/>
      <c r="F24" s="27"/>
      <c r="G24" s="27"/>
      <c r="H24" s="36"/>
      <c r="I24" s="36"/>
      <c r="J24" s="36"/>
      <c r="K24" s="27"/>
      <c r="L24" s="31"/>
      <c r="M24"/>
      <c r="N24" s="102"/>
      <c r="O24" s="247" t="s">
        <v>113</v>
      </c>
      <c r="P24" s="242" t="s">
        <v>750</v>
      </c>
      <c r="Q24" s="242">
        <f>J42</f>
        <v>40106</v>
      </c>
      <c r="R24" s="242" t="s">
        <v>751</v>
      </c>
      <c r="S24" s="242"/>
      <c r="T24" s="242"/>
      <c r="U24" s="102"/>
      <c r="V24" s="102"/>
      <c r="W24" s="102"/>
      <c r="X24" s="102"/>
      <c r="Y24" s="102"/>
    </row>
    <row r="25" spans="1:25" ht="15" customHeight="1" x14ac:dyDescent="0.25">
      <c r="A25" s="36"/>
      <c r="B25" s="27"/>
      <c r="C25" s="27"/>
      <c r="D25" s="27"/>
      <c r="E25" s="27"/>
      <c r="F25" s="27"/>
      <c r="G25" s="27"/>
      <c r="H25" s="36"/>
      <c r="I25" s="36"/>
      <c r="J25" s="36"/>
      <c r="K25" s="27"/>
      <c r="L25" s="31"/>
      <c r="M25"/>
      <c r="N25" s="102"/>
      <c r="O25" s="102"/>
      <c r="P25" s="142" t="s">
        <v>125</v>
      </c>
      <c r="Q25" s="142">
        <f>K35</f>
        <v>460675</v>
      </c>
      <c r="R25" s="142" t="s">
        <v>126</v>
      </c>
      <c r="S25" s="142">
        <f>J35</f>
        <v>541970</v>
      </c>
      <c r="T25" s="142" t="s">
        <v>127</v>
      </c>
      <c r="U25" s="102"/>
      <c r="V25" s="102"/>
      <c r="W25" s="102"/>
      <c r="X25" s="102"/>
      <c r="Y25" s="102"/>
    </row>
    <row r="26" spans="1:25" ht="15" customHeight="1" x14ac:dyDescent="0.25">
      <c r="A26" s="36"/>
      <c r="B26" s="238" t="s">
        <v>704</v>
      </c>
      <c r="C26" s="52"/>
      <c r="D26" s="52"/>
      <c r="E26" s="52"/>
      <c r="F26" s="314" t="s">
        <v>705</v>
      </c>
      <c r="G26" s="52"/>
      <c r="H26" s="52"/>
      <c r="I26" s="52"/>
      <c r="J26" s="40"/>
      <c r="K26" s="40"/>
      <c r="L26" s="328"/>
      <c r="M26"/>
      <c r="N26" s="102"/>
      <c r="O26" s="102"/>
      <c r="P26" s="102"/>
      <c r="Q26" s="102"/>
      <c r="R26" s="102"/>
      <c r="S26" s="102"/>
      <c r="T26" s="102"/>
      <c r="U26" s="102"/>
      <c r="V26" s="102"/>
      <c r="W26" s="102"/>
      <c r="X26" s="102"/>
      <c r="Y26" s="102"/>
    </row>
    <row r="27" spans="1:25" ht="15" customHeight="1" x14ac:dyDescent="0.25">
      <c r="A27" s="36"/>
      <c r="B27" s="230" t="s">
        <v>689</v>
      </c>
      <c r="C27" s="230" t="s">
        <v>690</v>
      </c>
      <c r="D27" s="109" t="s">
        <v>691</v>
      </c>
      <c r="E27" s="109"/>
      <c r="F27" s="109"/>
      <c r="G27" s="109"/>
      <c r="H27" s="109"/>
      <c r="I27" s="109"/>
      <c r="J27" s="315" t="s">
        <v>706</v>
      </c>
      <c r="K27" s="292" t="s">
        <v>707</v>
      </c>
      <c r="L27" s="329" t="s">
        <v>708</v>
      </c>
      <c r="M27"/>
      <c r="N27" s="102"/>
      <c r="O27" s="247" t="s">
        <v>113</v>
      </c>
      <c r="P27" s="309">
        <f>2*(Q24*100)/(Q25+S25)</f>
        <v>8.0000398944791034</v>
      </c>
      <c r="Q27" s="270" t="s">
        <v>295</v>
      </c>
      <c r="R27" s="263" t="s">
        <v>749</v>
      </c>
      <c r="S27" s="102"/>
      <c r="T27" s="102"/>
      <c r="U27" s="102"/>
      <c r="V27" s="102"/>
      <c r="W27" s="102"/>
      <c r="X27" s="102"/>
      <c r="Y27" s="102"/>
    </row>
    <row r="28" spans="1:25" ht="15" customHeight="1" x14ac:dyDescent="0.25">
      <c r="A28" s="36"/>
      <c r="B28" s="316" t="s">
        <v>709</v>
      </c>
      <c r="C28" s="316" t="s">
        <v>710</v>
      </c>
      <c r="D28" s="317" t="s">
        <v>711</v>
      </c>
      <c r="E28" s="94"/>
      <c r="F28" s="47"/>
      <c r="G28" s="47"/>
      <c r="H28" s="47"/>
      <c r="I28" s="47"/>
      <c r="J28" s="95">
        <v>143000</v>
      </c>
      <c r="K28" s="154">
        <v>148720</v>
      </c>
      <c r="L28" s="330" t="s">
        <v>121</v>
      </c>
      <c r="M28"/>
      <c r="N28" s="141"/>
      <c r="O28" s="102"/>
      <c r="P28" s="102"/>
      <c r="Q28" s="102"/>
      <c r="R28" s="102"/>
      <c r="S28" s="102"/>
      <c r="T28" s="102"/>
      <c r="U28" s="102"/>
      <c r="V28" s="102"/>
      <c r="W28" s="102"/>
      <c r="X28" s="102"/>
      <c r="Y28" s="102"/>
    </row>
    <row r="29" spans="1:25" ht="15" customHeight="1" x14ac:dyDescent="0.25">
      <c r="A29" s="36"/>
      <c r="B29" s="318" t="s">
        <v>709</v>
      </c>
      <c r="C29" s="318" t="s">
        <v>712</v>
      </c>
      <c r="D29" s="319" t="s">
        <v>713</v>
      </c>
      <c r="E29" s="52"/>
      <c r="F29" s="27"/>
      <c r="G29" s="27"/>
      <c r="H29" s="27"/>
      <c r="I29" s="27"/>
      <c r="J29" s="234">
        <v>7150</v>
      </c>
      <c r="K29" s="152">
        <v>5863</v>
      </c>
      <c r="L29" s="330" t="s">
        <v>714</v>
      </c>
      <c r="M29"/>
      <c r="N29" s="141" t="s">
        <v>5</v>
      </c>
      <c r="O29" s="271" t="s">
        <v>695</v>
      </c>
      <c r="P29" s="271"/>
      <c r="Q29" s="271"/>
      <c r="R29" s="271"/>
      <c r="S29" s="271"/>
      <c r="T29" s="271"/>
      <c r="U29" s="271"/>
      <c r="V29" s="271"/>
      <c r="W29" s="102"/>
      <c r="X29" s="102"/>
      <c r="Y29" s="102"/>
    </row>
    <row r="30" spans="1:25" ht="15" customHeight="1" x14ac:dyDescent="0.25">
      <c r="A30" s="36"/>
      <c r="B30" s="320" t="s">
        <v>709</v>
      </c>
      <c r="C30" s="321" t="s">
        <v>715</v>
      </c>
      <c r="D30" s="322" t="s">
        <v>716</v>
      </c>
      <c r="E30" s="48"/>
      <c r="F30" s="48"/>
      <c r="G30" s="48"/>
      <c r="H30" s="48"/>
      <c r="I30" s="48"/>
      <c r="J30" s="98">
        <v>28600</v>
      </c>
      <c r="K30" s="153">
        <v>28886</v>
      </c>
      <c r="L30" s="331" t="s">
        <v>717</v>
      </c>
      <c r="M30"/>
      <c r="N30" s="102"/>
      <c r="O30"/>
      <c r="P30"/>
      <c r="Q30"/>
      <c r="R30"/>
      <c r="S30"/>
      <c r="T30"/>
      <c r="U30"/>
      <c r="V30"/>
      <c r="W30"/>
      <c r="X30"/>
      <c r="Y30" s="102"/>
    </row>
    <row r="31" spans="1:25" ht="15" customHeight="1" x14ac:dyDescent="0.25">
      <c r="A31" s="36"/>
      <c r="B31" s="27"/>
      <c r="C31" s="27"/>
      <c r="D31" s="27"/>
      <c r="E31" s="323" t="s">
        <v>718</v>
      </c>
      <c r="F31" s="27"/>
      <c r="G31" s="27"/>
      <c r="H31" s="27"/>
      <c r="I31" s="323"/>
      <c r="J31" s="230" t="s">
        <v>719</v>
      </c>
      <c r="K31" s="230" t="s">
        <v>720</v>
      </c>
      <c r="L31" s="329" t="s">
        <v>721</v>
      </c>
      <c r="M31"/>
      <c r="N31" s="102"/>
      <c r="O31" s="247" t="s">
        <v>113</v>
      </c>
      <c r="P31" s="142" t="s">
        <v>125</v>
      </c>
      <c r="Q31" s="102" t="s">
        <v>742</v>
      </c>
      <c r="R31" s="102"/>
      <c r="S31" s="102"/>
      <c r="T31" s="102"/>
      <c r="U31" s="102"/>
      <c r="V31" s="102"/>
      <c r="W31" s="102"/>
      <c r="X31" s="102"/>
      <c r="Y31" s="102"/>
    </row>
    <row r="32" spans="1:25" ht="15" customHeight="1" x14ac:dyDescent="0.25">
      <c r="A32" s="36"/>
      <c r="B32" s="27"/>
      <c r="C32" s="27"/>
      <c r="D32" s="27"/>
      <c r="E32" s="27"/>
      <c r="F32" s="27"/>
      <c r="G32" s="27"/>
      <c r="H32" s="27"/>
      <c r="I32" s="27"/>
      <c r="J32" s="52"/>
      <c r="K32" s="52"/>
      <c r="L32" s="31"/>
      <c r="M32"/>
      <c r="N32" s="102"/>
      <c r="O32" s="102"/>
      <c r="P32" s="242"/>
      <c r="Q32" s="242" t="s">
        <v>126</v>
      </c>
      <c r="R32" s="170" t="s">
        <v>744</v>
      </c>
      <c r="S32" s="170"/>
      <c r="T32" s="170"/>
      <c r="U32" s="170"/>
      <c r="V32" s="170"/>
      <c r="W32" s="170"/>
      <c r="X32" s="170" t="s">
        <v>127</v>
      </c>
      <c r="Y32" s="102"/>
    </row>
    <row r="33" spans="1:25" ht="15" customHeight="1" x14ac:dyDescent="0.25">
      <c r="A33" s="36"/>
      <c r="B33" s="238" t="s">
        <v>722</v>
      </c>
      <c r="C33" s="52"/>
      <c r="D33" s="52"/>
      <c r="E33" s="52"/>
      <c r="F33" s="238" t="s">
        <v>723</v>
      </c>
      <c r="G33" s="52"/>
      <c r="H33" s="52"/>
      <c r="I33" s="52"/>
      <c r="J33" s="40"/>
      <c r="K33" s="40"/>
      <c r="L33" s="328"/>
      <c r="M33"/>
      <c r="N33" s="102"/>
      <c r="O33" s="102"/>
      <c r="P33" s="102"/>
      <c r="Q33" s="102"/>
      <c r="R33" s="102"/>
      <c r="S33" s="102" t="s">
        <v>692</v>
      </c>
      <c r="T33" s="102"/>
      <c r="U33" s="102"/>
      <c r="V33" s="102"/>
      <c r="W33" s="102"/>
      <c r="X33" s="102"/>
      <c r="Y33" s="102"/>
    </row>
    <row r="34" spans="1:25" ht="15" customHeight="1" x14ac:dyDescent="0.25">
      <c r="A34" s="36"/>
      <c r="B34" s="230" t="s">
        <v>689</v>
      </c>
      <c r="C34" s="230" t="s">
        <v>690</v>
      </c>
      <c r="D34" s="109" t="s">
        <v>691</v>
      </c>
      <c r="E34" s="109"/>
      <c r="F34" s="109"/>
      <c r="G34" s="109"/>
      <c r="H34" s="109"/>
      <c r="I34" s="109"/>
      <c r="J34" s="315" t="s">
        <v>706</v>
      </c>
      <c r="K34" s="292" t="s">
        <v>707</v>
      </c>
      <c r="L34" s="329" t="s">
        <v>708</v>
      </c>
      <c r="M34"/>
      <c r="N34" s="102"/>
      <c r="O34" s="102"/>
      <c r="P34" s="102"/>
      <c r="Q34" s="102"/>
      <c r="R34" s="102"/>
      <c r="S34" s="102"/>
      <c r="T34" s="102"/>
      <c r="U34" s="102"/>
      <c r="V34" s="102"/>
      <c r="W34" s="102"/>
      <c r="X34" s="102"/>
      <c r="Y34" s="102"/>
    </row>
    <row r="35" spans="1:25" ht="15" customHeight="1" x14ac:dyDescent="0.25">
      <c r="A35" s="36"/>
      <c r="B35" s="316" t="s">
        <v>724</v>
      </c>
      <c r="C35" s="316" t="s">
        <v>597</v>
      </c>
      <c r="D35" s="317" t="s">
        <v>598</v>
      </c>
      <c r="E35" s="94"/>
      <c r="F35" s="47"/>
      <c r="G35" s="47"/>
      <c r="H35" s="47"/>
      <c r="I35" s="47"/>
      <c r="J35" s="95">
        <v>541970</v>
      </c>
      <c r="K35" s="154">
        <v>460675</v>
      </c>
      <c r="L35" s="330" t="s">
        <v>118</v>
      </c>
      <c r="M35"/>
      <c r="N35" s="102"/>
      <c r="O35" s="247" t="s">
        <v>113</v>
      </c>
      <c r="P35" s="242" t="s">
        <v>125</v>
      </c>
      <c r="Q35" s="242">
        <f>J51</f>
        <v>390</v>
      </c>
      <c r="R35" s="242" t="s">
        <v>126</v>
      </c>
      <c r="S35" s="242">
        <f>J52</f>
        <v>260</v>
      </c>
      <c r="T35" s="242" t="s">
        <v>127</v>
      </c>
      <c r="U35" s="102"/>
      <c r="V35" s="102"/>
      <c r="W35" s="102"/>
      <c r="X35" s="102"/>
      <c r="Y35" s="102"/>
    </row>
    <row r="36" spans="1:25" ht="15" customHeight="1" x14ac:dyDescent="0.25">
      <c r="A36" s="36"/>
      <c r="B36" s="320" t="s">
        <v>724</v>
      </c>
      <c r="C36" s="320" t="s">
        <v>595</v>
      </c>
      <c r="D36" s="322" t="s">
        <v>725</v>
      </c>
      <c r="E36" s="97"/>
      <c r="F36" s="48"/>
      <c r="G36" s="48"/>
      <c r="H36" s="48"/>
      <c r="I36" s="48"/>
      <c r="J36" s="98">
        <v>108394</v>
      </c>
      <c r="K36" s="153">
        <v>106226</v>
      </c>
      <c r="L36" s="331" t="s">
        <v>726</v>
      </c>
      <c r="M36"/>
      <c r="N36" s="102"/>
      <c r="O36" s="102"/>
      <c r="P36" s="102"/>
      <c r="Q36" s="102"/>
      <c r="R36" s="142">
        <f>P7</f>
        <v>325182</v>
      </c>
      <c r="S36" s="102"/>
      <c r="T36" s="102"/>
      <c r="U36" s="102"/>
      <c r="V36" s="102"/>
      <c r="W36" s="102"/>
      <c r="X36" s="102"/>
      <c r="Y36" s="102"/>
    </row>
    <row r="37" spans="1:25" ht="15" customHeight="1" x14ac:dyDescent="0.25">
      <c r="A37" s="36"/>
      <c r="B37" s="27"/>
      <c r="C37" s="27"/>
      <c r="D37" s="27"/>
      <c r="E37" s="27"/>
      <c r="F37" s="27"/>
      <c r="G37" s="27"/>
      <c r="H37" s="27"/>
      <c r="I37" s="27"/>
      <c r="J37" s="52"/>
      <c r="K37" s="52"/>
      <c r="L37" s="31"/>
      <c r="M37"/>
      <c r="N37" s="102"/>
      <c r="O37" s="102"/>
      <c r="P37" s="102"/>
      <c r="Q37" s="102"/>
      <c r="R37" s="102"/>
      <c r="S37" s="102"/>
      <c r="T37" s="102"/>
      <c r="U37" s="102"/>
      <c r="V37" s="102"/>
      <c r="W37" s="102"/>
      <c r="X37" s="102"/>
      <c r="Y37" s="102"/>
    </row>
    <row r="38" spans="1:25" ht="15" customHeight="1" x14ac:dyDescent="0.25">
      <c r="A38" s="36"/>
      <c r="B38" s="324" t="s">
        <v>727</v>
      </c>
      <c r="C38" s="27"/>
      <c r="D38" s="27"/>
      <c r="E38" s="27"/>
      <c r="F38" s="27"/>
      <c r="G38" s="27"/>
      <c r="H38" s="27"/>
      <c r="I38" s="27"/>
      <c r="J38" s="52"/>
      <c r="K38" s="52"/>
      <c r="L38" s="31"/>
      <c r="M38"/>
      <c r="N38" s="102"/>
      <c r="O38" s="247" t="s">
        <v>113</v>
      </c>
      <c r="P38" s="310">
        <f>(Q35+S35)/R36</f>
        <v>1.9988806268489644E-3</v>
      </c>
      <c r="Q38" s="270" t="s">
        <v>295</v>
      </c>
      <c r="R38" s="263" t="s">
        <v>758</v>
      </c>
      <c r="S38" s="102"/>
      <c r="T38" s="102"/>
      <c r="U38" s="102"/>
      <c r="V38" s="102"/>
      <c r="W38" s="102"/>
      <c r="X38" s="102"/>
      <c r="Y38" s="102"/>
    </row>
    <row r="39" spans="1:25" ht="15" customHeight="1" x14ac:dyDescent="0.25">
      <c r="A39" s="36"/>
      <c r="B39" s="230" t="s">
        <v>689</v>
      </c>
      <c r="C39" s="230" t="s">
        <v>690</v>
      </c>
      <c r="D39" s="109" t="s">
        <v>691</v>
      </c>
      <c r="E39" s="109"/>
      <c r="F39" s="109"/>
      <c r="G39" s="109"/>
      <c r="H39" s="109"/>
      <c r="I39" s="109"/>
      <c r="J39" s="315" t="s">
        <v>706</v>
      </c>
      <c r="K39" s="292" t="s">
        <v>707</v>
      </c>
      <c r="L39" s="329" t="s">
        <v>708</v>
      </c>
      <c r="M39"/>
      <c r="N39" s="102"/>
      <c r="O39" s="102"/>
      <c r="P39" s="102"/>
      <c r="Q39" s="102"/>
      <c r="R39" s="102"/>
      <c r="S39" s="102"/>
      <c r="T39" s="102"/>
      <c r="U39" s="102"/>
      <c r="V39" s="102"/>
      <c r="W39" s="102"/>
      <c r="X39" s="102"/>
      <c r="Y39" s="102"/>
    </row>
    <row r="40" spans="1:25" ht="15" customHeight="1" x14ac:dyDescent="0.25">
      <c r="A40" s="36"/>
      <c r="B40" s="316" t="s">
        <v>728</v>
      </c>
      <c r="C40" s="316" t="s">
        <v>729</v>
      </c>
      <c r="D40" s="317" t="s">
        <v>730</v>
      </c>
      <c r="E40" s="94"/>
      <c r="F40" s="47"/>
      <c r="G40" s="47"/>
      <c r="H40" s="47"/>
      <c r="I40" s="47"/>
      <c r="J40" s="95">
        <v>11783</v>
      </c>
      <c r="K40" s="154">
        <v>11430</v>
      </c>
      <c r="L40" s="330" t="s">
        <v>120</v>
      </c>
      <c r="M40"/>
      <c r="N40" s="141" t="s">
        <v>6</v>
      </c>
      <c r="O40" s="311" t="s">
        <v>696</v>
      </c>
      <c r="P40" s="312"/>
      <c r="Q40" s="312"/>
      <c r="R40" s="312"/>
      <c r="S40" s="312"/>
      <c r="T40" s="102"/>
      <c r="U40" s="102"/>
      <c r="V40" s="102"/>
      <c r="W40" s="102"/>
      <c r="X40" s="102"/>
      <c r="Y40" s="102"/>
    </row>
    <row r="41" spans="1:25" ht="15" customHeight="1" x14ac:dyDescent="0.25">
      <c r="A41" s="36"/>
      <c r="B41" s="318" t="s">
        <v>728</v>
      </c>
      <c r="C41" s="318" t="s">
        <v>731</v>
      </c>
      <c r="D41" s="319" t="s">
        <v>732</v>
      </c>
      <c r="E41" s="52"/>
      <c r="F41" s="27"/>
      <c r="G41" s="27"/>
      <c r="H41" s="27"/>
      <c r="I41" s="27"/>
      <c r="J41" s="234">
        <v>1309</v>
      </c>
      <c r="K41" s="152">
        <v>1139</v>
      </c>
      <c r="L41" s="330" t="s">
        <v>733</v>
      </c>
      <c r="M41"/>
      <c r="N41" s="102"/>
      <c r="O41" s="102"/>
      <c r="P41" s="102"/>
      <c r="Q41" s="102"/>
      <c r="R41" s="102"/>
      <c r="S41" s="102"/>
      <c r="T41" s="102"/>
      <c r="U41" s="102"/>
      <c r="V41" s="102"/>
      <c r="W41" s="102"/>
      <c r="X41" s="102"/>
      <c r="Y41" s="102"/>
    </row>
    <row r="42" spans="1:25" ht="15" customHeight="1" x14ac:dyDescent="0.25">
      <c r="A42" s="36"/>
      <c r="B42" s="320" t="s">
        <v>728</v>
      </c>
      <c r="C42" s="321" t="s">
        <v>734</v>
      </c>
      <c r="D42" s="322" t="s">
        <v>735</v>
      </c>
      <c r="E42" s="48"/>
      <c r="F42" s="48"/>
      <c r="G42" s="48"/>
      <c r="H42" s="48"/>
      <c r="I42" s="48"/>
      <c r="J42" s="98">
        <v>40106</v>
      </c>
      <c r="K42" s="153">
        <v>39304</v>
      </c>
      <c r="L42" s="331" t="s">
        <v>419</v>
      </c>
      <c r="M42"/>
      <c r="N42" s="102"/>
      <c r="O42" s="247" t="s">
        <v>113</v>
      </c>
      <c r="P42" s="170" t="s">
        <v>1242</v>
      </c>
      <c r="Q42" s="170"/>
      <c r="R42" s="170"/>
      <c r="S42" s="170"/>
      <c r="T42" s="170"/>
      <c r="U42" s="170"/>
      <c r="V42" s="170"/>
      <c r="W42" s="102"/>
      <c r="X42" s="102"/>
      <c r="Y42" s="102"/>
    </row>
    <row r="43" spans="1:25" ht="15" customHeight="1" x14ac:dyDescent="0.25">
      <c r="A43" s="36"/>
      <c r="B43" s="52"/>
      <c r="C43" s="52"/>
      <c r="D43" s="52"/>
      <c r="E43" s="52"/>
      <c r="F43" s="52"/>
      <c r="G43" s="52"/>
      <c r="H43" s="52"/>
      <c r="I43" s="52"/>
      <c r="J43" s="52"/>
      <c r="K43" s="52"/>
      <c r="L43" s="328"/>
      <c r="M43"/>
      <c r="N43" s="102"/>
      <c r="O43" s="102"/>
      <c r="P43" s="102"/>
      <c r="Q43" s="102"/>
      <c r="R43" s="102"/>
      <c r="S43" s="142" t="s">
        <v>759</v>
      </c>
      <c r="T43" s="102"/>
      <c r="U43" s="102"/>
      <c r="V43" s="102"/>
      <c r="W43" s="102"/>
      <c r="X43" s="102"/>
      <c r="Y43" s="102"/>
    </row>
    <row r="44" spans="1:25" ht="15" customHeight="1" x14ac:dyDescent="0.25">
      <c r="A44" s="36"/>
      <c r="B44" s="238" t="s">
        <v>736</v>
      </c>
      <c r="C44" s="52"/>
      <c r="D44" s="52"/>
      <c r="E44" s="52"/>
      <c r="F44" s="52"/>
      <c r="G44" s="52"/>
      <c r="H44" s="52"/>
      <c r="I44" s="52"/>
      <c r="J44" s="52"/>
      <c r="K44" s="52"/>
      <c r="L44" s="328"/>
      <c r="M44"/>
      <c r="N44" s="102"/>
      <c r="O44" s="102"/>
      <c r="P44" s="102"/>
      <c r="Q44" s="102"/>
      <c r="R44" s="102"/>
      <c r="S44" s="102"/>
      <c r="T44" s="102"/>
      <c r="U44" s="102"/>
      <c r="V44" s="102"/>
      <c r="W44" s="102"/>
      <c r="X44" s="102"/>
      <c r="Y44" s="102"/>
    </row>
    <row r="45" spans="1:25" ht="15" customHeight="1" x14ac:dyDescent="0.25">
      <c r="A45" s="36"/>
      <c r="B45" s="230" t="s">
        <v>689</v>
      </c>
      <c r="C45" s="230" t="s">
        <v>690</v>
      </c>
      <c r="D45" s="109" t="s">
        <v>691</v>
      </c>
      <c r="E45" s="109"/>
      <c r="F45" s="109"/>
      <c r="G45" s="109"/>
      <c r="H45" s="109"/>
      <c r="I45" s="109"/>
      <c r="J45" s="315" t="s">
        <v>706</v>
      </c>
      <c r="K45" s="292" t="s">
        <v>707</v>
      </c>
      <c r="L45" s="329" t="s">
        <v>708</v>
      </c>
      <c r="M45"/>
      <c r="N45" s="102"/>
      <c r="O45" s="247" t="s">
        <v>113</v>
      </c>
      <c r="P45" s="142">
        <f>J53</f>
        <v>-3252</v>
      </c>
      <c r="Q45" s="247" t="s">
        <v>115</v>
      </c>
      <c r="R45" s="142">
        <f>P7</f>
        <v>325182</v>
      </c>
      <c r="S45" s="102"/>
      <c r="T45" s="102"/>
      <c r="U45" s="102"/>
      <c r="V45" s="102"/>
      <c r="W45" s="102"/>
      <c r="X45" s="102"/>
      <c r="Y45" s="102"/>
    </row>
    <row r="46" spans="1:25" ht="15" customHeight="1" x14ac:dyDescent="0.25">
      <c r="A46" s="36"/>
      <c r="B46" s="316" t="s">
        <v>737</v>
      </c>
      <c r="C46" s="316" t="s">
        <v>737</v>
      </c>
      <c r="D46" s="317" t="s">
        <v>738</v>
      </c>
      <c r="E46" s="94"/>
      <c r="F46" s="47"/>
      <c r="G46" s="47"/>
      <c r="H46" s="47"/>
      <c r="I46" s="47"/>
      <c r="J46" s="95">
        <v>70456</v>
      </c>
      <c r="K46" s="325" t="s">
        <v>737</v>
      </c>
      <c r="L46" s="330" t="s">
        <v>739</v>
      </c>
      <c r="M46"/>
      <c r="N46" s="102"/>
      <c r="O46" s="102"/>
      <c r="P46" s="102"/>
      <c r="Q46" s="102"/>
      <c r="R46" s="102"/>
      <c r="S46" s="102"/>
      <c r="T46" s="102"/>
      <c r="U46" s="102"/>
      <c r="V46" s="102"/>
      <c r="W46" s="102"/>
      <c r="X46" s="102"/>
      <c r="Y46" s="102"/>
    </row>
    <row r="47" spans="1:25" ht="15" customHeight="1" x14ac:dyDescent="0.25">
      <c r="A47" s="36"/>
      <c r="B47" s="320" t="s">
        <v>737</v>
      </c>
      <c r="C47" s="320" t="s">
        <v>737</v>
      </c>
      <c r="D47" s="322" t="s">
        <v>740</v>
      </c>
      <c r="E47" s="97"/>
      <c r="F47" s="48"/>
      <c r="G47" s="48"/>
      <c r="H47" s="48"/>
      <c r="I47" s="48"/>
      <c r="J47" s="98">
        <v>37938</v>
      </c>
      <c r="K47" s="69" t="s">
        <v>737</v>
      </c>
      <c r="L47" s="331" t="s">
        <v>741</v>
      </c>
      <c r="M47"/>
      <c r="N47" s="102"/>
      <c r="O47" s="247" t="s">
        <v>113</v>
      </c>
      <c r="P47" s="313">
        <f>P45/R45</f>
        <v>-1.0000553536173589E-2</v>
      </c>
      <c r="Q47" s="270" t="s">
        <v>295</v>
      </c>
      <c r="R47" s="263" t="s">
        <v>758</v>
      </c>
      <c r="S47" s="102"/>
      <c r="T47" s="102"/>
      <c r="U47" s="102"/>
      <c r="V47" s="102"/>
      <c r="W47" s="102"/>
      <c r="X47" s="102"/>
      <c r="Y47" s="102"/>
    </row>
    <row r="48" spans="1:25" ht="15" customHeight="1" x14ac:dyDescent="0.25">
      <c r="A48" s="36"/>
      <c r="B48" s="52"/>
      <c r="C48" s="52"/>
      <c r="D48" s="52"/>
      <c r="E48" s="52"/>
      <c r="F48" s="52"/>
      <c r="G48" s="52"/>
      <c r="H48" s="52"/>
      <c r="I48" s="52"/>
      <c r="J48" s="52"/>
      <c r="K48" s="52"/>
      <c r="L48" s="328"/>
      <c r="M48"/>
    </row>
    <row r="49" spans="1:25" ht="15" customHeight="1" x14ac:dyDescent="0.25">
      <c r="A49" s="36"/>
      <c r="B49" s="238" t="s">
        <v>600</v>
      </c>
      <c r="C49" s="52"/>
      <c r="D49" s="52"/>
      <c r="E49" s="52"/>
      <c r="F49" s="52"/>
      <c r="G49" s="52"/>
      <c r="H49" s="52"/>
      <c r="I49" s="52"/>
      <c r="J49" s="52"/>
      <c r="K49" s="52"/>
      <c r="L49" s="328"/>
      <c r="M49"/>
      <c r="N49"/>
      <c r="O49"/>
      <c r="P49"/>
      <c r="Q49"/>
      <c r="R49"/>
      <c r="S49"/>
      <c r="T49"/>
      <c r="U49"/>
      <c r="V49"/>
      <c r="W49"/>
      <c r="X49"/>
      <c r="Y49"/>
    </row>
    <row r="50" spans="1:25" ht="15" customHeight="1" x14ac:dyDescent="0.25">
      <c r="A50" s="36"/>
      <c r="B50" s="230" t="s">
        <v>689</v>
      </c>
      <c r="C50" s="230" t="s">
        <v>690</v>
      </c>
      <c r="D50" s="109" t="s">
        <v>691</v>
      </c>
      <c r="E50" s="109"/>
      <c r="F50" s="109"/>
      <c r="G50" s="109"/>
      <c r="H50" s="109"/>
      <c r="I50" s="109"/>
      <c r="J50" s="315" t="s">
        <v>706</v>
      </c>
      <c r="K50" s="292" t="s">
        <v>707</v>
      </c>
      <c r="L50" s="329" t="s">
        <v>708</v>
      </c>
      <c r="M50"/>
      <c r="N50"/>
      <c r="O50"/>
      <c r="P50"/>
      <c r="Q50"/>
      <c r="R50"/>
      <c r="S50"/>
      <c r="T50"/>
      <c r="U50"/>
      <c r="V50"/>
      <c r="W50"/>
      <c r="X50"/>
      <c r="Y50"/>
    </row>
    <row r="51" spans="1:25" ht="15" customHeight="1" x14ac:dyDescent="0.25">
      <c r="A51" s="36"/>
      <c r="B51" s="316" t="s">
        <v>737</v>
      </c>
      <c r="C51" s="316" t="s">
        <v>737</v>
      </c>
      <c r="D51" s="317" t="s">
        <v>742</v>
      </c>
      <c r="E51" s="94"/>
      <c r="F51" s="47"/>
      <c r="G51" s="47"/>
      <c r="H51" s="47"/>
      <c r="I51" s="47"/>
      <c r="J51" s="95">
        <v>390</v>
      </c>
      <c r="K51" s="325" t="s">
        <v>737</v>
      </c>
      <c r="L51" s="332" t="s">
        <v>743</v>
      </c>
      <c r="M51"/>
      <c r="N51"/>
      <c r="O51"/>
      <c r="P51"/>
      <c r="Q51"/>
      <c r="R51"/>
      <c r="S51"/>
      <c r="T51"/>
      <c r="U51"/>
      <c r="V51"/>
      <c r="W51"/>
      <c r="X51"/>
      <c r="Y51"/>
    </row>
    <row r="52" spans="1:25" ht="15" customHeight="1" x14ac:dyDescent="0.25">
      <c r="A52" s="36"/>
      <c r="B52" s="320" t="s">
        <v>737</v>
      </c>
      <c r="C52" s="320" t="s">
        <v>737</v>
      </c>
      <c r="D52" s="322" t="s">
        <v>744</v>
      </c>
      <c r="E52" s="97"/>
      <c r="F52" s="48"/>
      <c r="G52" s="48"/>
      <c r="H52" s="48"/>
      <c r="I52" s="48"/>
      <c r="J52" s="98">
        <v>260</v>
      </c>
      <c r="K52" s="69" t="s">
        <v>737</v>
      </c>
      <c r="L52" s="331" t="s">
        <v>743</v>
      </c>
      <c r="M52"/>
      <c r="N52"/>
      <c r="O52"/>
      <c r="P52"/>
      <c r="Q52"/>
      <c r="R52"/>
      <c r="S52"/>
      <c r="T52"/>
      <c r="U52"/>
      <c r="V52"/>
      <c r="W52"/>
      <c r="X52"/>
      <c r="Y52"/>
    </row>
    <row r="53" spans="1:25" ht="15" customHeight="1" x14ac:dyDescent="0.25">
      <c r="A53" s="36"/>
      <c r="B53" s="326" t="s">
        <v>1241</v>
      </c>
      <c r="C53" s="327" t="s">
        <v>745</v>
      </c>
      <c r="D53" s="109" t="s">
        <v>746</v>
      </c>
      <c r="E53" s="49"/>
      <c r="F53" s="49"/>
      <c r="G53" s="49"/>
      <c r="H53" s="49"/>
      <c r="I53" s="63"/>
      <c r="J53" s="160">
        <v>-3252</v>
      </c>
      <c r="K53" s="106" t="s">
        <v>737</v>
      </c>
      <c r="L53" s="333" t="s">
        <v>743</v>
      </c>
      <c r="M53"/>
      <c r="N53"/>
      <c r="O53"/>
      <c r="P53"/>
      <c r="Q53"/>
      <c r="R53"/>
      <c r="S53"/>
      <c r="T53"/>
      <c r="U53"/>
      <c r="V53"/>
      <c r="W53"/>
      <c r="X53"/>
      <c r="Y53"/>
    </row>
    <row r="54" spans="1:25" ht="15" customHeight="1" x14ac:dyDescent="0.25">
      <c r="A54" s="36"/>
      <c r="B54" s="36"/>
      <c r="C54" s="36"/>
      <c r="D54" s="36"/>
      <c r="E54" s="36"/>
      <c r="F54" s="36"/>
      <c r="G54" s="36"/>
      <c r="H54" s="36"/>
      <c r="I54" s="36"/>
      <c r="J54" s="36"/>
      <c r="K54" s="27"/>
      <c r="L54" s="31"/>
      <c r="M54"/>
      <c r="N54"/>
      <c r="O54"/>
      <c r="P54"/>
      <c r="Q54"/>
      <c r="R54"/>
      <c r="S54"/>
      <c r="T54"/>
      <c r="U54"/>
      <c r="V54"/>
      <c r="W54"/>
      <c r="X54"/>
      <c r="Y54"/>
    </row>
    <row r="55" spans="1:25" ht="15.75" thickBot="1" x14ac:dyDescent="0.3">
      <c r="A55" s="33"/>
      <c r="B55" s="33"/>
      <c r="C55" s="33"/>
      <c r="D55" s="33"/>
      <c r="E55" s="33"/>
      <c r="F55" s="33"/>
      <c r="G55" s="33"/>
      <c r="H55" s="33"/>
      <c r="I55" s="33"/>
      <c r="J55" s="33"/>
      <c r="K55" s="33"/>
      <c r="L55" s="34"/>
    </row>
    <row r="56" spans="1:25" x14ac:dyDescent="0.25">
      <c r="A56"/>
      <c r="B56"/>
      <c r="C56"/>
      <c r="D56"/>
      <c r="E56"/>
      <c r="F56"/>
      <c r="G56"/>
      <c r="H56"/>
      <c r="I56"/>
      <c r="J56"/>
      <c r="K56"/>
      <c r="L56"/>
    </row>
    <row r="57" spans="1:25" x14ac:dyDescent="0.25">
      <c r="A57"/>
      <c r="B57"/>
      <c r="C57"/>
      <c r="D57"/>
      <c r="E57"/>
      <c r="F57"/>
      <c r="G57"/>
      <c r="H57"/>
      <c r="I57"/>
      <c r="J57"/>
      <c r="K57"/>
      <c r="L57"/>
    </row>
    <row r="58" spans="1:25" x14ac:dyDescent="0.25">
      <c r="A58"/>
      <c r="B58"/>
      <c r="C58"/>
      <c r="D58"/>
      <c r="E58"/>
      <c r="F58"/>
      <c r="G58"/>
      <c r="H58"/>
      <c r="I58"/>
      <c r="J58"/>
      <c r="K58"/>
      <c r="L58"/>
    </row>
    <row r="59" spans="1:25" x14ac:dyDescent="0.25">
      <c r="A59"/>
      <c r="B59"/>
      <c r="C59"/>
      <c r="D59"/>
      <c r="E59"/>
      <c r="F59"/>
      <c r="G59"/>
      <c r="H59"/>
      <c r="I59"/>
      <c r="J59"/>
      <c r="K59"/>
      <c r="L59"/>
    </row>
    <row r="60" spans="1:25" x14ac:dyDescent="0.25">
      <c r="A60"/>
      <c r="B60"/>
      <c r="C60"/>
      <c r="D60"/>
      <c r="E60"/>
      <c r="F60"/>
      <c r="G60"/>
      <c r="H60"/>
      <c r="I60"/>
      <c r="J60"/>
      <c r="K60"/>
      <c r="L60"/>
    </row>
    <row r="61" spans="1:25" x14ac:dyDescent="0.25">
      <c r="A61"/>
      <c r="B61"/>
      <c r="C61"/>
      <c r="D61"/>
      <c r="E61"/>
      <c r="F61"/>
      <c r="G61"/>
      <c r="H61"/>
      <c r="I61"/>
      <c r="J61"/>
      <c r="K61"/>
      <c r="L61"/>
    </row>
    <row r="62" spans="1:25" x14ac:dyDescent="0.25">
      <c r="A62"/>
      <c r="B62"/>
      <c r="C62"/>
      <c r="D62"/>
      <c r="E62"/>
      <c r="F62"/>
      <c r="G62"/>
      <c r="H62"/>
      <c r="I62"/>
      <c r="J62"/>
      <c r="K62"/>
      <c r="L62"/>
    </row>
    <row r="63" spans="1:25" x14ac:dyDescent="0.25">
      <c r="A63"/>
      <c r="B63"/>
      <c r="C63"/>
      <c r="D63"/>
      <c r="E63"/>
      <c r="F63"/>
      <c r="G63"/>
      <c r="H63"/>
      <c r="I63"/>
      <c r="J63"/>
      <c r="K63"/>
      <c r="L63"/>
    </row>
    <row r="64" spans="1:25"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sheetData>
  <mergeCells count="1">
    <mergeCell ref="K1:L1"/>
  </mergeCells>
  <conditionalFormatting sqref="B1">
    <cfRule type="cellIs" dxfId="70" priority="1" operator="equal">
      <formula>"Incomplete"</formula>
    </cfRule>
    <cfRule type="cellIs" dxfId="69" priority="2" operator="equal">
      <formula>"Flag for Review"</formula>
    </cfRule>
    <cfRule type="cellIs" dxfId="68"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W89"/>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9" width="9.28515625" style="29" customWidth="1"/>
    <col min="10" max="10" width="14.7109375" style="29" customWidth="1"/>
    <col min="11" max="11" width="9.42578125" style="29" customWidth="1"/>
    <col min="12" max="12" width="10.7109375" style="29" customWidth="1"/>
    <col min="13" max="16384" width="9.140625" style="29"/>
  </cols>
  <sheetData>
    <row r="1" spans="1:23" ht="15" customHeight="1" x14ac:dyDescent="0.25">
      <c r="A1" s="7">
        <v>12</v>
      </c>
      <c r="B1" s="41" t="s">
        <v>12</v>
      </c>
      <c r="C1" s="28"/>
      <c r="D1" s="28"/>
      <c r="E1" s="28"/>
      <c r="F1" s="28"/>
      <c r="G1" s="28"/>
      <c r="H1" s="28"/>
      <c r="I1" s="28"/>
      <c r="J1" s="388" t="s">
        <v>30</v>
      </c>
      <c r="K1" s="390"/>
      <c r="M1" s="29" t="s">
        <v>54</v>
      </c>
      <c r="N1" s="70" t="s">
        <v>873</v>
      </c>
    </row>
    <row r="2" spans="1:23" ht="15" customHeight="1" x14ac:dyDescent="0.25">
      <c r="A2" s="30"/>
      <c r="B2" s="27"/>
      <c r="C2" s="27"/>
      <c r="D2" s="27"/>
      <c r="E2" s="27"/>
      <c r="F2" s="27"/>
      <c r="G2" s="27"/>
      <c r="H2" s="27"/>
      <c r="I2" s="27"/>
      <c r="J2" s="27"/>
      <c r="K2" s="31"/>
    </row>
    <row r="3" spans="1:23" ht="15" customHeight="1" x14ac:dyDescent="0.25">
      <c r="A3" s="8" t="s">
        <v>13</v>
      </c>
      <c r="B3" s="27"/>
      <c r="C3" s="27"/>
      <c r="D3" s="27"/>
      <c r="E3" s="27"/>
      <c r="F3" s="27"/>
      <c r="G3" s="27"/>
      <c r="H3" s="27"/>
      <c r="I3" s="27"/>
      <c r="J3" s="27"/>
      <c r="K3" s="31"/>
    </row>
    <row r="4" spans="1:23" ht="15" customHeight="1" x14ac:dyDescent="0.25">
      <c r="A4" s="9">
        <f>INDEX('Point Grid'!B:B,MATCH($A$1,'Point Grid'!A:A,0))</f>
        <v>1.25</v>
      </c>
      <c r="B4" s="27"/>
      <c r="C4" s="27"/>
      <c r="D4" s="27"/>
      <c r="E4" s="27"/>
      <c r="F4" s="27"/>
      <c r="G4" s="27"/>
      <c r="H4" s="27"/>
      <c r="I4" s="27"/>
      <c r="J4" s="27"/>
      <c r="K4" s="31"/>
      <c r="M4" s="57" t="s">
        <v>2</v>
      </c>
      <c r="N4" s="29" t="s">
        <v>768</v>
      </c>
      <c r="P4" s="57" t="s">
        <v>113</v>
      </c>
      <c r="Q4" s="57" t="s">
        <v>119</v>
      </c>
      <c r="R4" s="57" t="s">
        <v>250</v>
      </c>
      <c r="S4" s="57">
        <f>J10</f>
        <v>350</v>
      </c>
      <c r="T4" s="57" t="s">
        <v>250</v>
      </c>
      <c r="U4" s="57">
        <f>J11</f>
        <v>125</v>
      </c>
      <c r="V4" s="57" t="s">
        <v>456</v>
      </c>
      <c r="W4" s="57">
        <v>0</v>
      </c>
    </row>
    <row r="5" spans="1:23" ht="15" customHeight="1" x14ac:dyDescent="0.25">
      <c r="A5" s="30"/>
      <c r="B5" s="27"/>
      <c r="C5" s="27"/>
      <c r="D5" s="27"/>
      <c r="E5" s="27"/>
      <c r="F5" s="27"/>
      <c r="G5" s="27"/>
      <c r="H5" s="27"/>
      <c r="I5" s="27"/>
      <c r="J5" s="27"/>
      <c r="K5" s="31"/>
      <c r="Q5" s="57" t="s">
        <v>119</v>
      </c>
      <c r="R5" s="57" t="s">
        <v>250</v>
      </c>
      <c r="T5" s="57">
        <f>S4+U4</f>
        <v>475</v>
      </c>
      <c r="V5" s="57" t="s">
        <v>456</v>
      </c>
      <c r="W5" s="57">
        <v>0</v>
      </c>
    </row>
    <row r="6" spans="1:23" ht="15" customHeight="1" x14ac:dyDescent="0.25">
      <c r="A6" s="35" t="s">
        <v>2</v>
      </c>
      <c r="B6" s="27" t="s">
        <v>761</v>
      </c>
      <c r="C6" s="27"/>
      <c r="D6" s="27"/>
      <c r="E6" s="27"/>
      <c r="F6" s="27"/>
      <c r="G6" s="27"/>
      <c r="H6" s="27"/>
      <c r="I6" s="27"/>
      <c r="J6" s="27"/>
      <c r="K6" s="31"/>
      <c r="Q6" s="57" t="s">
        <v>119</v>
      </c>
      <c r="V6" s="57" t="s">
        <v>456</v>
      </c>
      <c r="W6" s="57">
        <f>T5</f>
        <v>475</v>
      </c>
    </row>
    <row r="7" spans="1:23" ht="15" customHeight="1" thickBot="1" x14ac:dyDescent="0.3">
      <c r="A7" s="9">
        <v>0.5</v>
      </c>
      <c r="B7" s="27"/>
      <c r="C7" s="27"/>
      <c r="D7" s="27"/>
      <c r="E7" s="27"/>
      <c r="F7" s="27"/>
      <c r="G7" s="27"/>
      <c r="H7" s="27"/>
      <c r="I7" s="27"/>
      <c r="J7" s="27"/>
      <c r="K7" s="31"/>
    </row>
    <row r="8" spans="1:23" ht="15" customHeight="1" thickBot="1" x14ac:dyDescent="0.3">
      <c r="A8" s="5"/>
      <c r="B8" s="36"/>
      <c r="C8" s="36"/>
      <c r="D8" s="36"/>
      <c r="E8" s="36"/>
      <c r="F8" s="36"/>
      <c r="G8" s="36"/>
      <c r="H8" s="36"/>
      <c r="I8" s="36"/>
      <c r="J8" s="341" t="s">
        <v>123</v>
      </c>
      <c r="K8" s="31"/>
      <c r="N8" s="342" t="s">
        <v>769</v>
      </c>
      <c r="O8" s="342"/>
      <c r="P8" s="342"/>
      <c r="Q8" s="342"/>
      <c r="R8" s="342"/>
      <c r="S8" s="342"/>
      <c r="T8" s="342"/>
      <c r="U8" s="342"/>
      <c r="V8" s="342"/>
    </row>
    <row r="9" spans="1:23" ht="15" customHeight="1" x14ac:dyDescent="0.25">
      <c r="A9" s="36"/>
      <c r="B9" s="335" t="s">
        <v>762</v>
      </c>
      <c r="C9" s="336"/>
      <c r="D9" s="47" t="s">
        <v>765</v>
      </c>
      <c r="E9" s="47"/>
      <c r="F9" s="47"/>
      <c r="G9" s="47"/>
      <c r="H9" s="47"/>
      <c r="I9" s="60"/>
      <c r="J9" s="143" t="s">
        <v>119</v>
      </c>
      <c r="K9" s="31"/>
    </row>
    <row r="10" spans="1:23" ht="15" customHeight="1" x14ac:dyDescent="0.25">
      <c r="A10" s="36"/>
      <c r="B10" s="337" t="s">
        <v>763</v>
      </c>
      <c r="C10" s="334"/>
      <c r="D10" s="27" t="s">
        <v>766</v>
      </c>
      <c r="E10" s="27"/>
      <c r="F10" s="27"/>
      <c r="G10" s="27"/>
      <c r="H10" s="27"/>
      <c r="I10" s="61"/>
      <c r="J10" s="338">
        <v>350</v>
      </c>
      <c r="K10" s="31"/>
      <c r="M10" s="57" t="s">
        <v>3</v>
      </c>
      <c r="N10" s="57" t="s">
        <v>409</v>
      </c>
      <c r="O10" s="57" t="s">
        <v>113</v>
      </c>
      <c r="P10" s="57" t="s">
        <v>407</v>
      </c>
      <c r="Q10" s="57" t="s">
        <v>250</v>
      </c>
      <c r="R10" s="57" t="s">
        <v>408</v>
      </c>
    </row>
    <row r="11" spans="1:23" ht="15" customHeight="1" x14ac:dyDescent="0.25">
      <c r="A11" s="36"/>
      <c r="B11" s="339" t="s">
        <v>764</v>
      </c>
      <c r="C11" s="340"/>
      <c r="D11" s="48" t="s">
        <v>767</v>
      </c>
      <c r="E11" s="48"/>
      <c r="F11" s="48"/>
      <c r="G11" s="48"/>
      <c r="H11" s="48"/>
      <c r="I11" s="62"/>
      <c r="J11" s="144">
        <v>125</v>
      </c>
      <c r="K11" s="31"/>
      <c r="O11" s="57" t="s">
        <v>113</v>
      </c>
      <c r="P11" s="83">
        <f>D15</f>
        <v>850000</v>
      </c>
      <c r="Q11" s="57" t="s">
        <v>250</v>
      </c>
      <c r="R11" s="83">
        <f>D16</f>
        <v>750000</v>
      </c>
    </row>
    <row r="12" spans="1:23" ht="15" customHeight="1" x14ac:dyDescent="0.25">
      <c r="A12" s="36"/>
      <c r="B12" s="27"/>
      <c r="C12" s="27"/>
      <c r="D12" s="27"/>
      <c r="E12" s="27"/>
      <c r="F12" s="27"/>
      <c r="G12" s="27"/>
      <c r="H12" s="27"/>
      <c r="I12" s="27"/>
      <c r="J12" s="27"/>
      <c r="K12" s="31"/>
      <c r="O12" s="57" t="s">
        <v>113</v>
      </c>
      <c r="P12" s="159">
        <f>P11-R11</f>
        <v>100000</v>
      </c>
      <c r="Q12" s="82" t="s">
        <v>253</v>
      </c>
      <c r="R12" s="70" t="s">
        <v>429</v>
      </c>
    </row>
    <row r="13" spans="1:23" ht="15" customHeight="1" x14ac:dyDescent="0.25">
      <c r="A13" s="35" t="s">
        <v>3</v>
      </c>
      <c r="B13" s="27" t="s">
        <v>416</v>
      </c>
      <c r="C13" s="27"/>
      <c r="D13" s="27"/>
      <c r="E13" s="27"/>
      <c r="F13" s="27"/>
      <c r="G13" s="27"/>
      <c r="H13" s="27"/>
      <c r="I13" s="27"/>
      <c r="J13" s="27"/>
      <c r="K13" s="31"/>
    </row>
    <row r="14" spans="1:23" ht="15" customHeight="1" thickBot="1" x14ac:dyDescent="0.3">
      <c r="A14" s="9">
        <f>INDEX('Point Grid'!$C$8:$I$35,MATCH($A$1,'Point Grid'!$A$8:$A$35,0),MATCH(A13,'Point Grid'!$C$7:$I$7,0))</f>
        <v>0.25</v>
      </c>
      <c r="B14" s="27"/>
      <c r="C14" s="27"/>
      <c r="D14" s="27"/>
      <c r="E14" s="27"/>
      <c r="F14" s="27"/>
      <c r="G14" s="27"/>
      <c r="H14" s="27"/>
      <c r="I14" s="27"/>
      <c r="J14" s="27"/>
      <c r="K14" s="31"/>
      <c r="M14" s="57" t="s">
        <v>4</v>
      </c>
      <c r="N14" s="57" t="s">
        <v>409</v>
      </c>
      <c r="O14" s="57" t="s">
        <v>113</v>
      </c>
      <c r="P14" s="29" t="s">
        <v>418</v>
      </c>
      <c r="R14" s="57" t="s">
        <v>126</v>
      </c>
      <c r="S14" s="57" t="s">
        <v>419</v>
      </c>
      <c r="T14" s="57" t="s">
        <v>126</v>
      </c>
      <c r="U14" s="57" t="s">
        <v>420</v>
      </c>
    </row>
    <row r="15" spans="1:23" ht="15" customHeight="1" thickBot="1" x14ac:dyDescent="0.3">
      <c r="A15" s="5"/>
      <c r="B15" s="27"/>
      <c r="C15" s="155" t="s">
        <v>407</v>
      </c>
      <c r="D15" s="154">
        <v>850000</v>
      </c>
      <c r="E15" s="27"/>
      <c r="F15" s="156" t="s">
        <v>421</v>
      </c>
      <c r="G15" s="27"/>
      <c r="H15" s="27"/>
      <c r="I15" s="27"/>
      <c r="J15" s="27"/>
      <c r="K15" s="31"/>
      <c r="O15" s="57" t="s">
        <v>113</v>
      </c>
      <c r="P15" s="71">
        <f>G22</f>
        <v>75000</v>
      </c>
      <c r="Q15" s="57"/>
      <c r="R15" s="57" t="s">
        <v>126</v>
      </c>
      <c r="S15" s="71">
        <f>G23</f>
        <v>25000</v>
      </c>
      <c r="T15" s="57" t="s">
        <v>126</v>
      </c>
      <c r="U15" s="71">
        <f>G24</f>
        <v>10000</v>
      </c>
    </row>
    <row r="16" spans="1:23" ht="15" customHeight="1" x14ac:dyDescent="0.25">
      <c r="A16" s="36"/>
      <c r="B16" s="27"/>
      <c r="C16" s="66" t="s">
        <v>408</v>
      </c>
      <c r="D16" s="153">
        <v>750000</v>
      </c>
      <c r="E16" s="27"/>
      <c r="F16" s="27"/>
      <c r="G16" s="27"/>
      <c r="H16" s="27"/>
      <c r="I16" s="27"/>
      <c r="J16" s="27"/>
      <c r="K16" s="31"/>
      <c r="O16" s="57" t="s">
        <v>113</v>
      </c>
      <c r="P16" s="158">
        <f>P15+S15+U15</f>
        <v>110000</v>
      </c>
      <c r="Q16" s="82" t="s">
        <v>253</v>
      </c>
      <c r="R16" s="70" t="s">
        <v>430</v>
      </c>
    </row>
    <row r="17" spans="1:21" ht="15" customHeight="1" x14ac:dyDescent="0.25">
      <c r="A17" s="36"/>
      <c r="B17" s="27"/>
      <c r="C17" s="27"/>
      <c r="D17" s="27"/>
      <c r="E17" s="27"/>
      <c r="F17" s="27"/>
      <c r="G17" s="27"/>
      <c r="H17" s="27"/>
      <c r="I17" s="27"/>
      <c r="J17" s="27"/>
      <c r="K17" s="31"/>
    </row>
    <row r="18" spans="1:21" ht="15" customHeight="1" x14ac:dyDescent="0.25">
      <c r="A18" s="35" t="s">
        <v>4</v>
      </c>
      <c r="B18" s="27" t="s">
        <v>417</v>
      </c>
      <c r="C18" s="27"/>
      <c r="D18" s="27"/>
      <c r="E18" s="27"/>
      <c r="F18" s="27"/>
      <c r="G18" s="27"/>
      <c r="H18" s="27"/>
      <c r="I18" s="27"/>
      <c r="J18" s="27"/>
      <c r="K18" s="31"/>
      <c r="M18" s="57" t="s">
        <v>5</v>
      </c>
      <c r="N18" s="58" t="s">
        <v>423</v>
      </c>
    </row>
    <row r="19" spans="1:21" ht="15" customHeight="1" thickBot="1" x14ac:dyDescent="0.3">
      <c r="A19" s="9">
        <f>INDEX('Point Grid'!$C$8:$I$35,MATCH($A$1,'Point Grid'!$A$8:$A$35,0),MATCH(A18,'Point Grid'!$C$7:$I$7,0))</f>
        <v>0.25</v>
      </c>
      <c r="B19" s="27" t="s">
        <v>410</v>
      </c>
      <c r="C19" s="27"/>
      <c r="D19" s="27"/>
      <c r="E19" s="27"/>
      <c r="F19" s="27"/>
      <c r="G19" s="27"/>
      <c r="H19" s="27"/>
      <c r="I19" s="27"/>
      <c r="J19" s="27"/>
      <c r="K19" s="31"/>
    </row>
    <row r="20" spans="1:21" ht="15" customHeight="1" thickBot="1" x14ac:dyDescent="0.3">
      <c r="A20" s="5"/>
      <c r="B20" s="27"/>
      <c r="C20" s="27"/>
      <c r="D20" s="27"/>
      <c r="E20" s="27"/>
      <c r="F20" s="27"/>
      <c r="G20" s="27"/>
      <c r="H20" s="27"/>
      <c r="I20" s="27"/>
      <c r="J20" s="27"/>
      <c r="K20" s="31"/>
      <c r="N20" s="29" t="s">
        <v>424</v>
      </c>
    </row>
    <row r="21" spans="1:21" ht="15" customHeight="1" x14ac:dyDescent="0.25">
      <c r="A21" s="36"/>
      <c r="B21" s="27"/>
      <c r="C21" s="54" t="s">
        <v>411</v>
      </c>
      <c r="D21" s="49" t="s">
        <v>412</v>
      </c>
      <c r="E21" s="49"/>
      <c r="F21" s="63"/>
      <c r="G21" s="157" t="s">
        <v>415</v>
      </c>
      <c r="H21" s="27"/>
      <c r="I21" s="27"/>
      <c r="J21" s="27"/>
      <c r="K21" s="31"/>
      <c r="N21" s="57" t="s">
        <v>113</v>
      </c>
      <c r="O21" s="71">
        <f>G23</f>
        <v>25000</v>
      </c>
      <c r="P21" s="57" t="s">
        <v>250</v>
      </c>
      <c r="Q21" s="71">
        <f>D26/1000</f>
        <v>1000</v>
      </c>
    </row>
    <row r="22" spans="1:21" ht="15" customHeight="1" x14ac:dyDescent="0.25">
      <c r="A22" s="36"/>
      <c r="B22" s="27"/>
      <c r="C22" s="76">
        <v>2021</v>
      </c>
      <c r="D22" s="27" t="s">
        <v>409</v>
      </c>
      <c r="E22" s="52"/>
      <c r="F22" s="61"/>
      <c r="G22" s="152">
        <v>75000</v>
      </c>
      <c r="H22" s="27"/>
      <c r="I22" s="156" t="s">
        <v>421</v>
      </c>
      <c r="J22" s="27"/>
      <c r="K22" s="31"/>
      <c r="N22" s="57" t="s">
        <v>113</v>
      </c>
      <c r="O22" s="128">
        <f>O21-Q21</f>
        <v>24000</v>
      </c>
      <c r="P22" s="57"/>
      <c r="Q22" s="57"/>
    </row>
    <row r="23" spans="1:21" ht="15" customHeight="1" x14ac:dyDescent="0.25">
      <c r="A23" s="36"/>
      <c r="B23" s="27"/>
      <c r="C23" s="76">
        <v>2022</v>
      </c>
      <c r="D23" s="27" t="s">
        <v>413</v>
      </c>
      <c r="E23" s="27"/>
      <c r="F23" s="61"/>
      <c r="G23" s="152">
        <v>25000</v>
      </c>
      <c r="H23" s="27"/>
      <c r="I23" s="156" t="s">
        <v>422</v>
      </c>
      <c r="J23" s="27"/>
      <c r="K23" s="31"/>
    </row>
    <row r="24" spans="1:21" ht="15" customHeight="1" x14ac:dyDescent="0.25">
      <c r="A24" s="36"/>
      <c r="B24" s="27"/>
      <c r="C24" s="77">
        <v>2022</v>
      </c>
      <c r="D24" s="48" t="s">
        <v>414</v>
      </c>
      <c r="E24" s="48"/>
      <c r="F24" s="62"/>
      <c r="G24" s="153">
        <v>10000</v>
      </c>
      <c r="H24" s="27"/>
      <c r="I24" s="27"/>
      <c r="J24" s="27"/>
      <c r="K24" s="31"/>
      <c r="N24" s="58" t="s">
        <v>427</v>
      </c>
    </row>
    <row r="25" spans="1:21" ht="15" customHeight="1" x14ac:dyDescent="0.25">
      <c r="A25" s="36"/>
      <c r="B25" s="27"/>
      <c r="C25" s="27"/>
      <c r="D25" s="27"/>
      <c r="E25" s="27"/>
      <c r="F25" s="27"/>
      <c r="G25" s="27"/>
      <c r="H25" s="27"/>
      <c r="I25" s="27"/>
      <c r="J25" s="27"/>
      <c r="K25" s="31"/>
    </row>
    <row r="26" spans="1:21" ht="15" customHeight="1" x14ac:dyDescent="0.25">
      <c r="A26" s="35" t="s">
        <v>5</v>
      </c>
      <c r="B26" s="27" t="s">
        <v>425</v>
      </c>
      <c r="C26" s="27"/>
      <c r="D26" s="40">
        <f>1000000</f>
        <v>1000000</v>
      </c>
      <c r="E26" s="27" t="s">
        <v>426</v>
      </c>
      <c r="F26" s="27"/>
      <c r="G26" s="27"/>
      <c r="H26" s="27"/>
      <c r="I26" s="27"/>
      <c r="J26" s="27"/>
      <c r="K26" s="31"/>
      <c r="N26" s="57" t="s">
        <v>409</v>
      </c>
      <c r="O26" s="57" t="s">
        <v>113</v>
      </c>
      <c r="P26" s="29" t="s">
        <v>418</v>
      </c>
      <c r="R26" s="57" t="s">
        <v>126</v>
      </c>
      <c r="S26" s="57" t="s">
        <v>419</v>
      </c>
      <c r="T26" s="57" t="s">
        <v>126</v>
      </c>
      <c r="U26" s="57" t="s">
        <v>420</v>
      </c>
    </row>
    <row r="27" spans="1:21" ht="15" customHeight="1" thickBot="1" x14ac:dyDescent="0.3">
      <c r="A27" s="9">
        <f>INDEX('Point Grid'!$C$8:$I$35,MATCH($A$1,'Point Grid'!$A$8:$A$35,0),MATCH(A26,'Point Grid'!$C$7:$I$7,0))</f>
        <v>0.5</v>
      </c>
      <c r="B27" s="27"/>
      <c r="C27" s="27"/>
      <c r="D27" s="27"/>
      <c r="E27" s="27"/>
      <c r="F27" s="27"/>
      <c r="G27" s="27"/>
      <c r="H27" s="27"/>
      <c r="I27" s="27"/>
      <c r="J27" s="27"/>
      <c r="K27" s="31"/>
      <c r="O27" s="57" t="s">
        <v>113</v>
      </c>
      <c r="P27" s="71">
        <f>G22</f>
        <v>75000</v>
      </c>
      <c r="Q27" s="57"/>
      <c r="R27" s="57" t="s">
        <v>126</v>
      </c>
      <c r="S27" s="71">
        <f>O22</f>
        <v>24000</v>
      </c>
      <c r="T27" s="57" t="s">
        <v>126</v>
      </c>
      <c r="U27" s="71">
        <f>G24</f>
        <v>10000</v>
      </c>
    </row>
    <row r="28" spans="1:21" ht="15" customHeight="1" thickBot="1" x14ac:dyDescent="0.3">
      <c r="A28" s="5"/>
      <c r="B28" s="27"/>
      <c r="C28" s="27"/>
      <c r="D28" s="27"/>
      <c r="E28" s="27"/>
      <c r="F28" s="27"/>
      <c r="G28" s="27"/>
      <c r="H28" s="27"/>
      <c r="I28" s="27"/>
      <c r="J28" s="27"/>
      <c r="K28" s="31"/>
      <c r="O28" s="57" t="s">
        <v>113</v>
      </c>
      <c r="P28" s="158">
        <f>P27+S27+U27</f>
        <v>109000</v>
      </c>
      <c r="Q28" s="82" t="s">
        <v>253</v>
      </c>
      <c r="R28" s="70" t="s">
        <v>431</v>
      </c>
    </row>
    <row r="29" spans="1:21" ht="15" customHeight="1" x14ac:dyDescent="0.25">
      <c r="A29" s="36"/>
      <c r="B29" s="27"/>
      <c r="C29" s="27"/>
      <c r="D29" s="27"/>
      <c r="E29" s="27"/>
      <c r="F29" s="27"/>
      <c r="G29" s="27"/>
      <c r="H29" s="27"/>
      <c r="I29" s="27"/>
      <c r="J29" s="27"/>
      <c r="K29" s="31"/>
    </row>
    <row r="30" spans="1:21" ht="15" customHeight="1" thickBot="1" x14ac:dyDescent="0.3">
      <c r="A30" s="33"/>
      <c r="B30" s="33"/>
      <c r="C30" s="33"/>
      <c r="D30" s="33"/>
      <c r="E30" s="33"/>
      <c r="F30" s="33"/>
      <c r="G30" s="33"/>
      <c r="H30" s="33"/>
      <c r="I30" s="33"/>
      <c r="J30" s="33"/>
      <c r="K30" s="34"/>
    </row>
    <row r="31" spans="1:21" ht="15" customHeight="1" x14ac:dyDescent="0.25"/>
    <row r="32" spans="1:2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sheetData>
  <mergeCells count="1">
    <mergeCell ref="J1:K1"/>
  </mergeCells>
  <conditionalFormatting sqref="B1">
    <cfRule type="cellIs" dxfId="67" priority="1" operator="equal">
      <formula>"Incomplete"</formula>
    </cfRule>
    <cfRule type="cellIs" dxfId="66" priority="2" operator="equal">
      <formula>"Flag for Review"</formula>
    </cfRule>
    <cfRule type="cellIs" dxfId="65"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J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L120"/>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ht="15" customHeight="1" x14ac:dyDescent="0.25">
      <c r="A1" s="7">
        <v>13</v>
      </c>
      <c r="B1" s="41" t="s">
        <v>12</v>
      </c>
      <c r="C1" s="28"/>
      <c r="D1" s="28"/>
      <c r="E1" s="28"/>
      <c r="F1" s="28"/>
      <c r="G1" s="28"/>
      <c r="H1" s="388" t="s">
        <v>30</v>
      </c>
      <c r="I1" s="390"/>
      <c r="K1" s="29" t="s">
        <v>54</v>
      </c>
      <c r="L1" s="70" t="s">
        <v>874</v>
      </c>
    </row>
    <row r="2" spans="1:12" ht="15" customHeight="1" x14ac:dyDescent="0.25">
      <c r="A2" s="30"/>
      <c r="B2" s="27"/>
      <c r="C2" s="27"/>
      <c r="D2" s="27"/>
      <c r="E2" s="27"/>
      <c r="F2" s="27"/>
      <c r="G2" s="27"/>
      <c r="H2" s="27"/>
      <c r="I2" s="31"/>
    </row>
    <row r="3" spans="1:12" ht="15" customHeight="1" x14ac:dyDescent="0.25">
      <c r="A3" s="8" t="s">
        <v>13</v>
      </c>
      <c r="B3" s="27"/>
      <c r="C3" s="27"/>
      <c r="D3" s="27"/>
      <c r="E3" s="27"/>
      <c r="F3" s="27"/>
      <c r="G3" s="27"/>
      <c r="H3" s="27"/>
      <c r="I3" s="31"/>
    </row>
    <row r="4" spans="1:12" ht="15" customHeight="1" x14ac:dyDescent="0.25">
      <c r="A4" s="9">
        <f>INDEX('Point Grid'!B:B,MATCH($A$1,'Point Grid'!A:A,0))</f>
        <v>1.5</v>
      </c>
      <c r="B4" s="27"/>
      <c r="C4" s="27"/>
      <c r="D4" s="27"/>
      <c r="E4" s="27"/>
      <c r="F4" s="27"/>
      <c r="G4" s="27"/>
      <c r="H4" s="27"/>
      <c r="I4" s="31"/>
      <c r="K4" s="57" t="s">
        <v>2</v>
      </c>
      <c r="L4" s="58" t="s">
        <v>78</v>
      </c>
    </row>
    <row r="5" spans="1:12" ht="15" customHeight="1" x14ac:dyDescent="0.25">
      <c r="A5" s="30"/>
      <c r="B5" s="27"/>
      <c r="C5" s="27"/>
      <c r="D5" s="27"/>
      <c r="E5" s="27"/>
      <c r="F5" s="27"/>
      <c r="G5" s="27"/>
      <c r="H5" s="27"/>
      <c r="I5" s="31"/>
      <c r="L5" s="29" t="s">
        <v>779</v>
      </c>
    </row>
    <row r="6" spans="1:12" ht="15" customHeight="1" x14ac:dyDescent="0.25">
      <c r="A6" s="35" t="s">
        <v>2</v>
      </c>
      <c r="B6" s="27" t="s">
        <v>790</v>
      </c>
      <c r="C6" s="27"/>
      <c r="D6" s="27"/>
      <c r="E6" s="27"/>
      <c r="F6" s="27"/>
      <c r="G6" s="27"/>
      <c r="H6" s="27"/>
      <c r="I6" s="31"/>
      <c r="L6" s="29" t="s">
        <v>780</v>
      </c>
    </row>
    <row r="7" spans="1:12" ht="15" customHeight="1" thickBot="1" x14ac:dyDescent="0.3">
      <c r="A7" s="9">
        <f>INDEX('Point Grid'!$C$8:$I$35,MATCH($A$1,'Point Grid'!$A$8:$A$35,0),MATCH(A6,'Point Grid'!$C$7:$I$7,0))</f>
        <v>0.5</v>
      </c>
      <c r="B7" s="27"/>
      <c r="C7" s="27"/>
      <c r="D7" s="27"/>
      <c r="E7" s="27"/>
      <c r="F7" s="27"/>
      <c r="G7" s="27"/>
      <c r="H7" s="27"/>
      <c r="I7" s="31"/>
      <c r="L7" s="29" t="s">
        <v>781</v>
      </c>
    </row>
    <row r="8" spans="1:12" ht="15" customHeight="1" thickBot="1" x14ac:dyDescent="0.3">
      <c r="A8" s="5"/>
      <c r="B8" s="27"/>
      <c r="C8" s="27"/>
      <c r="D8" s="27"/>
      <c r="E8" s="27"/>
      <c r="F8" s="27"/>
      <c r="G8" s="27"/>
      <c r="H8" s="27"/>
      <c r="I8" s="31"/>
      <c r="K8" s="57"/>
      <c r="L8" s="58"/>
    </row>
    <row r="9" spans="1:12" ht="15" customHeight="1" x14ac:dyDescent="0.25">
      <c r="A9" s="36"/>
      <c r="B9" s="27"/>
      <c r="C9" s="27"/>
      <c r="D9" s="27"/>
      <c r="E9" s="27"/>
      <c r="F9" s="27"/>
      <c r="G9" s="27"/>
      <c r="H9" s="27"/>
      <c r="I9" s="31"/>
      <c r="K9" s="57" t="s">
        <v>3</v>
      </c>
      <c r="L9" s="58" t="s">
        <v>78</v>
      </c>
    </row>
    <row r="10" spans="1:12" ht="15" customHeight="1" x14ac:dyDescent="0.25">
      <c r="A10" s="35" t="s">
        <v>3</v>
      </c>
      <c r="B10" s="27" t="s">
        <v>797</v>
      </c>
      <c r="C10" s="27"/>
      <c r="D10" s="27"/>
      <c r="E10" s="27"/>
      <c r="F10" s="27"/>
      <c r="G10" s="27"/>
      <c r="H10" s="27"/>
      <c r="I10" s="31"/>
      <c r="L10" s="29" t="s">
        <v>782</v>
      </c>
    </row>
    <row r="11" spans="1:12" ht="15" customHeight="1" thickBot="1" x14ac:dyDescent="0.3">
      <c r="A11" s="9">
        <f>INDEX('Point Grid'!$C$8:$I$35,MATCH($A$1,'Point Grid'!$A$8:$A$35,0),MATCH(A10,'Point Grid'!$C$7:$I$7,0))</f>
        <v>0.5</v>
      </c>
      <c r="B11" s="27"/>
      <c r="C11" s="27"/>
      <c r="D11" s="27"/>
      <c r="E11" s="27"/>
      <c r="F11" s="27"/>
      <c r="G11" s="27"/>
      <c r="H11" s="27"/>
      <c r="I11" s="31"/>
      <c r="L11" s="29" t="s">
        <v>783</v>
      </c>
    </row>
    <row r="12" spans="1:12" ht="15" customHeight="1" thickBot="1" x14ac:dyDescent="0.3">
      <c r="A12" s="5"/>
      <c r="B12" s="27"/>
      <c r="C12" s="27"/>
      <c r="D12" s="27"/>
      <c r="E12" s="27"/>
      <c r="F12" s="27"/>
      <c r="G12" s="27"/>
      <c r="H12" s="27"/>
      <c r="I12" s="31"/>
      <c r="L12" s="29" t="s">
        <v>784</v>
      </c>
    </row>
    <row r="13" spans="1:12" ht="15" customHeight="1" x14ac:dyDescent="0.25">
      <c r="A13" s="27"/>
      <c r="B13" s="27"/>
      <c r="C13" s="27"/>
      <c r="D13" s="27"/>
      <c r="E13" s="27"/>
      <c r="F13" s="27"/>
      <c r="G13" s="27"/>
      <c r="H13" s="27"/>
      <c r="I13" s="31"/>
    </row>
    <row r="14" spans="1:12" ht="15" customHeight="1" x14ac:dyDescent="0.25">
      <c r="A14" s="35" t="s">
        <v>4</v>
      </c>
      <c r="B14" s="27" t="s">
        <v>777</v>
      </c>
      <c r="C14" s="27"/>
      <c r="D14" s="27"/>
      <c r="E14" s="27"/>
      <c r="F14" s="27"/>
      <c r="G14" s="27"/>
      <c r="H14" s="27"/>
      <c r="I14" s="31"/>
      <c r="K14" s="57" t="s">
        <v>4</v>
      </c>
      <c r="L14" s="58" t="s">
        <v>78</v>
      </c>
    </row>
    <row r="15" spans="1:12" ht="15" customHeight="1" thickBot="1" x14ac:dyDescent="0.3">
      <c r="A15" s="9">
        <f>INDEX('Point Grid'!$C$8:$I$35,MATCH($A$1,'Point Grid'!$A$8:$A$35,0),MATCH(A14,'Point Grid'!$C$7:$I$7,0))</f>
        <v>0.5</v>
      </c>
      <c r="B15" s="27" t="s">
        <v>778</v>
      </c>
      <c r="C15" s="27"/>
      <c r="D15" s="27"/>
      <c r="E15" s="27"/>
      <c r="F15" s="27"/>
      <c r="G15" s="27"/>
      <c r="H15" s="27"/>
      <c r="I15" s="31"/>
      <c r="L15" s="29" t="s">
        <v>785</v>
      </c>
    </row>
    <row r="16" spans="1:12" ht="15" customHeight="1" thickBot="1" x14ac:dyDescent="0.3">
      <c r="A16" s="5"/>
      <c r="B16" s="27"/>
      <c r="C16" s="27"/>
      <c r="D16" s="27"/>
      <c r="E16" s="27"/>
      <c r="F16" s="27"/>
      <c r="G16" s="27"/>
      <c r="H16" s="27"/>
      <c r="I16" s="31"/>
      <c r="L16" s="29" t="s">
        <v>786</v>
      </c>
    </row>
    <row r="17" spans="1:12" ht="15" customHeight="1" x14ac:dyDescent="0.25">
      <c r="A17" s="30"/>
      <c r="B17" s="27"/>
      <c r="C17" s="27"/>
      <c r="D17" s="27"/>
      <c r="E17" s="27"/>
      <c r="F17" s="27"/>
      <c r="G17" s="27"/>
      <c r="H17" s="27"/>
      <c r="I17" s="31"/>
      <c r="L17" s="29" t="s">
        <v>787</v>
      </c>
    </row>
    <row r="18" spans="1:12" ht="15" customHeight="1" thickBot="1" x14ac:dyDescent="0.3">
      <c r="A18" s="32"/>
      <c r="B18" s="33"/>
      <c r="C18" s="33"/>
      <c r="D18" s="33"/>
      <c r="E18" s="33"/>
      <c r="F18" s="33"/>
      <c r="G18" s="33"/>
      <c r="H18" s="33"/>
      <c r="I18" s="34"/>
      <c r="K18" s="57"/>
    </row>
    <row r="19" spans="1:12" ht="15" customHeight="1" x14ac:dyDescent="0.25"/>
    <row r="20" spans="1:12" ht="15" customHeight="1" x14ac:dyDescent="0.25"/>
    <row r="21" spans="1:12" ht="15" customHeight="1" x14ac:dyDescent="0.25"/>
    <row r="22" spans="1:12" ht="15" customHeight="1" x14ac:dyDescent="0.25"/>
    <row r="23" spans="1:12" ht="15" customHeight="1" x14ac:dyDescent="0.25">
      <c r="K23" s="57"/>
    </row>
    <row r="24" spans="1:12" ht="15" customHeight="1" x14ac:dyDescent="0.25"/>
    <row r="25" spans="1:12" ht="15" customHeight="1" x14ac:dyDescent="0.25"/>
    <row r="26" spans="1:12" ht="15" customHeight="1" x14ac:dyDescent="0.25"/>
    <row r="27" spans="1:12" ht="15" customHeight="1" x14ac:dyDescent="0.25"/>
    <row r="28" spans="1:12" ht="15" customHeight="1" x14ac:dyDescent="0.25"/>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sheetData>
  <mergeCells count="1">
    <mergeCell ref="H1:I1"/>
  </mergeCells>
  <conditionalFormatting sqref="B1">
    <cfRule type="cellIs" dxfId="64" priority="1" operator="equal">
      <formula>"Incomplete"</formula>
    </cfRule>
    <cfRule type="cellIs" dxfId="63" priority="2" operator="equal">
      <formula>"Flag for Review"</formula>
    </cfRule>
    <cfRule type="cellIs" dxfId="62"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Z110"/>
  <sheetViews>
    <sheetView workbookViewId="0"/>
  </sheetViews>
  <sheetFormatPr defaultColWidth="9.140625" defaultRowHeight="15" x14ac:dyDescent="0.25"/>
  <cols>
    <col min="1" max="1" width="8.7109375" style="29" customWidth="1"/>
    <col min="2" max="10" width="9.140625" style="29" customWidth="1"/>
    <col min="11" max="11" width="15" style="29" customWidth="1"/>
    <col min="12" max="12" width="5" style="29" customWidth="1"/>
    <col min="13" max="16384" width="9.140625" style="29"/>
  </cols>
  <sheetData>
    <row r="1" spans="1:26" ht="15" customHeight="1" x14ac:dyDescent="0.25">
      <c r="A1" s="7">
        <v>14</v>
      </c>
      <c r="B1" s="41" t="s">
        <v>12</v>
      </c>
      <c r="C1" s="28"/>
      <c r="D1" s="28"/>
      <c r="E1" s="28"/>
      <c r="F1" s="28"/>
      <c r="G1" s="28"/>
      <c r="H1" s="28"/>
      <c r="I1" s="28"/>
      <c r="J1" s="36"/>
      <c r="K1" s="388" t="s">
        <v>30</v>
      </c>
      <c r="L1" s="390"/>
      <c r="N1" s="29" t="s">
        <v>54</v>
      </c>
      <c r="O1" s="70" t="s">
        <v>875</v>
      </c>
    </row>
    <row r="2" spans="1:26" ht="15" customHeight="1" x14ac:dyDescent="0.25">
      <c r="A2" s="30"/>
      <c r="B2" s="27"/>
      <c r="C2" s="27"/>
      <c r="D2" s="27"/>
      <c r="E2" s="27"/>
      <c r="F2" s="27"/>
      <c r="G2" s="27"/>
      <c r="H2" s="27"/>
      <c r="I2" s="27"/>
      <c r="J2" s="36"/>
      <c r="K2" s="27"/>
      <c r="L2" s="31"/>
    </row>
    <row r="3" spans="1:26" ht="15" customHeight="1" x14ac:dyDescent="0.25">
      <c r="A3" s="8" t="s">
        <v>13</v>
      </c>
      <c r="B3" s="27"/>
      <c r="C3" s="27"/>
      <c r="D3" s="27"/>
      <c r="E3" s="27"/>
      <c r="F3" s="27"/>
      <c r="G3" s="27"/>
      <c r="H3" s="27"/>
      <c r="I3" s="27"/>
      <c r="J3" s="27"/>
      <c r="K3" s="27"/>
      <c r="L3" s="31"/>
      <c r="N3" s="345" t="s">
        <v>2</v>
      </c>
      <c r="O3" s="241" t="s">
        <v>405</v>
      </c>
      <c r="P3" t="s">
        <v>852</v>
      </c>
      <c r="Q3"/>
      <c r="R3"/>
      <c r="S3"/>
      <c r="T3"/>
      <c r="U3"/>
      <c r="V3"/>
      <c r="W3"/>
      <c r="X3"/>
      <c r="Y3"/>
      <c r="Z3"/>
    </row>
    <row r="4" spans="1:26" ht="15" customHeight="1" x14ac:dyDescent="0.25">
      <c r="A4" s="9">
        <f>INDEX('Point Grid'!B:B,MATCH($A$1,'Point Grid'!A:A,0))</f>
        <v>2.25</v>
      </c>
      <c r="B4" s="27"/>
      <c r="C4" s="27"/>
      <c r="D4" s="27"/>
      <c r="E4" s="27"/>
      <c r="F4" s="27"/>
      <c r="G4" s="27"/>
      <c r="H4" s="27"/>
      <c r="I4" s="27"/>
      <c r="J4" s="27"/>
      <c r="K4" s="27"/>
      <c r="L4" s="31"/>
      <c r="O4"/>
      <c r="P4" s="140" t="s">
        <v>853</v>
      </c>
      <c r="Q4"/>
      <c r="R4"/>
      <c r="S4"/>
      <c r="T4"/>
      <c r="U4"/>
      <c r="V4"/>
      <c r="W4"/>
      <c r="X4"/>
      <c r="Y4"/>
      <c r="Z4"/>
    </row>
    <row r="5" spans="1:26" ht="15" customHeight="1" x14ac:dyDescent="0.25">
      <c r="A5" s="30"/>
      <c r="B5" s="27"/>
      <c r="C5" s="27"/>
      <c r="D5" s="27"/>
      <c r="E5" s="27"/>
      <c r="F5" s="27"/>
      <c r="G5" s="27"/>
      <c r="H5" s="27"/>
      <c r="I5" s="27"/>
      <c r="J5" s="27"/>
      <c r="K5" s="27"/>
      <c r="L5" s="31"/>
      <c r="O5"/>
      <c r="P5"/>
      <c r="Q5"/>
      <c r="R5"/>
      <c r="S5"/>
      <c r="T5"/>
      <c r="U5"/>
      <c r="V5"/>
      <c r="W5"/>
      <c r="X5"/>
      <c r="Y5"/>
      <c r="Z5"/>
    </row>
    <row r="6" spans="1:26" ht="15" customHeight="1" x14ac:dyDescent="0.25">
      <c r="A6" s="35" t="s">
        <v>2</v>
      </c>
      <c r="B6" s="52" t="s">
        <v>829</v>
      </c>
      <c r="C6" s="52"/>
      <c r="D6" s="52"/>
      <c r="E6" s="52"/>
      <c r="F6" s="52"/>
      <c r="G6" s="52"/>
      <c r="H6" s="27"/>
      <c r="I6" s="52"/>
      <c r="J6" s="52"/>
      <c r="K6" s="352">
        <v>2027</v>
      </c>
      <c r="L6" s="31"/>
      <c r="O6"/>
      <c r="P6" s="1" t="s">
        <v>854</v>
      </c>
      <c r="Q6"/>
      <c r="R6" s="344"/>
      <c r="S6"/>
      <c r="T6"/>
      <c r="U6"/>
      <c r="V6"/>
      <c r="W6"/>
      <c r="X6"/>
      <c r="Y6"/>
      <c r="Z6"/>
    </row>
    <row r="7" spans="1:26" ht="15" customHeight="1" thickBot="1" x14ac:dyDescent="0.3">
      <c r="A7" s="9">
        <f>INDEX('Point Grid'!$C$8:$I$35,MATCH($A$1,'Point Grid'!$A$8:$A$35,0),MATCH(A6,'Point Grid'!$C$7:$I$7,0))</f>
        <v>1</v>
      </c>
      <c r="B7" s="52"/>
      <c r="C7" s="52"/>
      <c r="D7" s="52"/>
      <c r="E7" s="52"/>
      <c r="F7" s="52"/>
      <c r="G7" s="52"/>
      <c r="H7" s="52"/>
      <c r="I7" s="52"/>
      <c r="J7" s="52"/>
      <c r="K7" s="52"/>
      <c r="L7" s="31"/>
      <c r="O7"/>
      <c r="P7"/>
      <c r="Q7"/>
      <c r="R7"/>
      <c r="S7"/>
      <c r="T7"/>
      <c r="U7"/>
      <c r="V7"/>
      <c r="W7"/>
      <c r="X7"/>
      <c r="Y7"/>
      <c r="Z7"/>
    </row>
    <row r="8" spans="1:26" ht="15" customHeight="1" thickBot="1" x14ac:dyDescent="0.3">
      <c r="A8" s="5"/>
      <c r="B8" s="354" t="s">
        <v>830</v>
      </c>
      <c r="C8" s="49"/>
      <c r="D8" s="353" t="s">
        <v>831</v>
      </c>
      <c r="E8" s="52"/>
      <c r="F8" s="52"/>
      <c r="G8" s="52"/>
      <c r="H8" s="52"/>
      <c r="I8" s="52"/>
      <c r="J8" s="52"/>
      <c r="K8" s="52"/>
      <c r="L8" s="31"/>
      <c r="O8"/>
      <c r="P8" s="141" t="s">
        <v>847</v>
      </c>
      <c r="Q8" s="141" t="s">
        <v>113</v>
      </c>
      <c r="R8" t="s">
        <v>855</v>
      </c>
      <c r="S8"/>
      <c r="T8"/>
      <c r="U8"/>
      <c r="V8"/>
      <c r="W8"/>
      <c r="X8"/>
      <c r="Y8"/>
      <c r="Z8"/>
    </row>
    <row r="9" spans="1:26" ht="15" customHeight="1" x14ac:dyDescent="0.25">
      <c r="A9" s="36"/>
      <c r="B9" s="52"/>
      <c r="C9" s="52"/>
      <c r="D9" s="52"/>
      <c r="E9" s="52"/>
      <c r="F9" s="52"/>
      <c r="G9" s="52"/>
      <c r="H9" s="52"/>
      <c r="I9" s="52"/>
      <c r="J9" s="52"/>
      <c r="K9" s="52"/>
      <c r="L9" s="31"/>
      <c r="O9"/>
      <c r="P9"/>
      <c r="Q9" s="141" t="s">
        <v>113</v>
      </c>
      <c r="R9" t="s">
        <v>856</v>
      </c>
      <c r="S9"/>
      <c r="T9"/>
      <c r="U9" s="141" t="s">
        <v>126</v>
      </c>
      <c r="V9" t="s">
        <v>857</v>
      </c>
      <c r="W9"/>
      <c r="X9"/>
      <c r="Y9" s="348" t="s">
        <v>858</v>
      </c>
      <c r="Z9" s="141"/>
    </row>
    <row r="10" spans="1:26" ht="15" customHeight="1" x14ac:dyDescent="0.25">
      <c r="A10" s="36"/>
      <c r="B10" s="93" t="s">
        <v>832</v>
      </c>
      <c r="C10" s="94"/>
      <c r="D10" s="154"/>
      <c r="E10" s="154">
        <v>40000</v>
      </c>
      <c r="F10" s="52"/>
      <c r="G10" s="52"/>
      <c r="H10" s="52"/>
      <c r="I10" s="52"/>
      <c r="J10" s="52"/>
      <c r="K10" s="52"/>
      <c r="L10" s="31"/>
      <c r="O10"/>
      <c r="P10"/>
      <c r="Q10" s="141" t="s">
        <v>113</v>
      </c>
      <c r="R10" t="s">
        <v>125</v>
      </c>
      <c r="S10" s="102">
        <f>E10</f>
        <v>40000</v>
      </c>
      <c r="T10" t="s">
        <v>859</v>
      </c>
      <c r="U10" s="141" t="s">
        <v>126</v>
      </c>
      <c r="V10" s="102">
        <f>E11</f>
        <v>160000</v>
      </c>
      <c r="W10" t="s">
        <v>859</v>
      </c>
      <c r="X10"/>
      <c r="Y10" s="348" t="s">
        <v>858</v>
      </c>
      <c r="Z10"/>
    </row>
    <row r="11" spans="1:26" ht="15" customHeight="1" x14ac:dyDescent="0.25">
      <c r="A11" s="36"/>
      <c r="B11" s="96" t="s">
        <v>833</v>
      </c>
      <c r="C11" s="97"/>
      <c r="D11" s="153"/>
      <c r="E11" s="153">
        <v>160000</v>
      </c>
      <c r="F11" s="52"/>
      <c r="G11" s="52"/>
      <c r="H11" s="52"/>
      <c r="I11" s="52"/>
      <c r="J11" s="52"/>
      <c r="K11" s="52"/>
      <c r="L11" s="31"/>
      <c r="O11"/>
      <c r="P11"/>
      <c r="Q11" s="141" t="s">
        <v>113</v>
      </c>
      <c r="R11" s="206">
        <f>(S10^1.5 + V10^1.5 ) ^ (1 / 1.5)</f>
        <v>173069.94843688895</v>
      </c>
      <c r="S11" s="349" t="str">
        <f>IF(LEFT(P6,LEN(P6)-1)=D8,"  &lt;==  use this value in Step 2","")</f>
        <v/>
      </c>
      <c r="T11" s="53"/>
      <c r="U11"/>
      <c r="V11"/>
      <c r="W11"/>
      <c r="X11"/>
      <c r="Y11"/>
      <c r="Z11"/>
    </row>
    <row r="12" spans="1:26" ht="15" customHeight="1" x14ac:dyDescent="0.25">
      <c r="A12" s="36"/>
      <c r="B12" s="114" t="s">
        <v>834</v>
      </c>
      <c r="C12" s="52"/>
      <c r="D12" s="152"/>
      <c r="E12" s="152">
        <v>50400</v>
      </c>
      <c r="F12" s="52"/>
      <c r="G12" s="52"/>
      <c r="H12" s="52"/>
      <c r="I12" s="52"/>
      <c r="J12" s="52"/>
      <c r="K12" s="52"/>
      <c r="L12" s="31"/>
      <c r="O12"/>
      <c r="P12"/>
      <c r="Q12"/>
      <c r="R12"/>
      <c r="S12"/>
      <c r="T12"/>
      <c r="U12"/>
      <c r="V12"/>
      <c r="W12"/>
      <c r="X12"/>
      <c r="Y12"/>
      <c r="Z12"/>
    </row>
    <row r="13" spans="1:26" ht="15" customHeight="1" x14ac:dyDescent="0.25">
      <c r="A13" s="36"/>
      <c r="B13" s="96" t="s">
        <v>835</v>
      </c>
      <c r="C13" s="97"/>
      <c r="D13" s="153"/>
      <c r="E13" s="153">
        <v>206400</v>
      </c>
      <c r="F13" s="52"/>
      <c r="G13" s="52"/>
      <c r="H13" s="52"/>
      <c r="I13" s="52"/>
      <c r="J13" s="52"/>
      <c r="K13" s="52"/>
      <c r="L13" s="31"/>
      <c r="O13"/>
      <c r="P13" s="1" t="s">
        <v>860</v>
      </c>
      <c r="Q13"/>
      <c r="R13" s="349"/>
      <c r="S13"/>
      <c r="T13"/>
      <c r="U13"/>
      <c r="V13"/>
      <c r="W13"/>
      <c r="X13"/>
      <c r="Y13"/>
      <c r="Z13"/>
    </row>
    <row r="14" spans="1:26" ht="15" customHeight="1" x14ac:dyDescent="0.25">
      <c r="A14" s="36"/>
      <c r="B14" s="114" t="s">
        <v>836</v>
      </c>
      <c r="C14" s="52"/>
      <c r="D14" s="152"/>
      <c r="E14" s="152">
        <v>60000</v>
      </c>
      <c r="F14" s="52"/>
      <c r="G14" s="52"/>
      <c r="H14" s="52"/>
      <c r="I14" s="52"/>
      <c r="J14" s="52"/>
      <c r="K14" s="52"/>
      <c r="L14" s="31"/>
      <c r="O14"/>
      <c r="P14"/>
      <c r="Q14"/>
      <c r="R14"/>
      <c r="S14"/>
      <c r="T14"/>
      <c r="U14"/>
      <c r="V14"/>
      <c r="W14"/>
      <c r="X14"/>
      <c r="Y14"/>
      <c r="Z14"/>
    </row>
    <row r="15" spans="1:26" ht="15" customHeight="1" x14ac:dyDescent="0.25">
      <c r="A15" s="36"/>
      <c r="B15" s="96" t="s">
        <v>837</v>
      </c>
      <c r="C15" s="97"/>
      <c r="D15" s="153"/>
      <c r="E15" s="153">
        <v>38800</v>
      </c>
      <c r="F15" s="52"/>
      <c r="G15" s="52"/>
      <c r="H15" s="52"/>
      <c r="I15" s="52"/>
      <c r="J15" s="52"/>
      <c r="K15" s="52"/>
      <c r="L15" s="31"/>
      <c r="O15"/>
      <c r="P15" s="141" t="s">
        <v>847</v>
      </c>
      <c r="Q15" s="141" t="s">
        <v>113</v>
      </c>
      <c r="R15" t="s">
        <v>861</v>
      </c>
      <c r="S15" t="s">
        <v>862</v>
      </c>
      <c r="T15"/>
      <c r="U15" s="350" t="s">
        <v>250</v>
      </c>
      <c r="V15" t="s">
        <v>863</v>
      </c>
      <c r="W15"/>
      <c r="X15"/>
      <c r="Y15" t="s">
        <v>252</v>
      </c>
      <c r="Z15"/>
    </row>
    <row r="16" spans="1:26" ht="15" customHeight="1" x14ac:dyDescent="0.25">
      <c r="A16" s="36"/>
      <c r="B16" s="52"/>
      <c r="C16" s="52"/>
      <c r="D16" s="52"/>
      <c r="E16" s="52"/>
      <c r="F16" s="52"/>
      <c r="G16" s="52"/>
      <c r="H16" s="52"/>
      <c r="I16" s="52"/>
      <c r="J16" s="52"/>
      <c r="K16" s="52"/>
      <c r="L16" s="31"/>
      <c r="O16"/>
      <c r="P16"/>
      <c r="Q16" s="141"/>
      <c r="R16"/>
      <c r="S16" t="s">
        <v>864</v>
      </c>
      <c r="T16"/>
      <c r="U16" s="350" t="s">
        <v>250</v>
      </c>
      <c r="V16" t="s">
        <v>863</v>
      </c>
      <c r="W16"/>
      <c r="X16"/>
      <c r="Y16" t="s">
        <v>127</v>
      </c>
      <c r="Z16"/>
    </row>
    <row r="17" spans="1:26" ht="15" customHeight="1" x14ac:dyDescent="0.25">
      <c r="A17" s="36"/>
      <c r="B17" s="93" t="s">
        <v>838</v>
      </c>
      <c r="C17" s="94"/>
      <c r="D17" s="154"/>
      <c r="E17" s="154">
        <v>20000</v>
      </c>
      <c r="F17" s="52"/>
      <c r="G17" s="52"/>
      <c r="H17" s="52"/>
      <c r="I17" s="52"/>
      <c r="J17" s="52"/>
      <c r="K17" s="52"/>
      <c r="L17" s="31"/>
      <c r="O17"/>
      <c r="P17"/>
      <c r="Q17" s="141"/>
      <c r="R17"/>
      <c r="S17"/>
      <c r="T17"/>
      <c r="U17" s="350"/>
      <c r="V17"/>
      <c r="W17"/>
      <c r="X17"/>
      <c r="Y17"/>
      <c r="Z17"/>
    </row>
    <row r="18" spans="1:26" ht="15" customHeight="1" x14ac:dyDescent="0.25">
      <c r="A18" s="36"/>
      <c r="B18" s="96" t="s">
        <v>839</v>
      </c>
      <c r="C18" s="97"/>
      <c r="D18" s="153"/>
      <c r="E18" s="153">
        <v>100000</v>
      </c>
      <c r="F18" s="52"/>
      <c r="G18" s="52"/>
      <c r="H18" s="52"/>
      <c r="I18" s="52"/>
      <c r="J18" s="52"/>
      <c r="K18" s="52"/>
      <c r="L18" s="31"/>
      <c r="O18"/>
      <c r="P18"/>
      <c r="Q18" s="141" t="s">
        <v>113</v>
      </c>
      <c r="R18" t="s">
        <v>861</v>
      </c>
      <c r="S18" s="102">
        <f>E12</f>
        <v>50400</v>
      </c>
      <c r="T18"/>
      <c r="U18" s="350" t="s">
        <v>250</v>
      </c>
      <c r="V18" s="102">
        <f>I20</f>
        <v>10000</v>
      </c>
      <c r="W18"/>
      <c r="X18"/>
      <c r="Y18" t="s">
        <v>252</v>
      </c>
      <c r="Z18"/>
    </row>
    <row r="19" spans="1:26" ht="15" customHeight="1" x14ac:dyDescent="0.25">
      <c r="A19" s="36"/>
      <c r="B19" s="52"/>
      <c r="C19" s="52"/>
      <c r="D19" s="52"/>
      <c r="E19" s="52"/>
      <c r="F19" s="52"/>
      <c r="G19" s="52"/>
      <c r="H19" s="52"/>
      <c r="I19" s="52"/>
      <c r="J19" s="52"/>
      <c r="K19" s="52"/>
      <c r="L19" s="31"/>
      <c r="O19"/>
      <c r="P19"/>
      <c r="Q19"/>
      <c r="R19"/>
      <c r="S19" s="102">
        <f>E13</f>
        <v>206400</v>
      </c>
      <c r="T19"/>
      <c r="U19" s="350" t="s">
        <v>250</v>
      </c>
      <c r="V19" s="102">
        <f>I20</f>
        <v>10000</v>
      </c>
      <c r="W19"/>
      <c r="X19"/>
      <c r="Y19" t="s">
        <v>127</v>
      </c>
      <c r="Z19"/>
    </row>
    <row r="20" spans="1:26" ht="15" customHeight="1" x14ac:dyDescent="0.25">
      <c r="A20" s="36"/>
      <c r="B20" s="108" t="s">
        <v>840</v>
      </c>
      <c r="C20" s="109"/>
      <c r="D20" s="109"/>
      <c r="E20" s="109"/>
      <c r="F20" s="109"/>
      <c r="G20" s="109"/>
      <c r="H20" s="160"/>
      <c r="I20" s="160">
        <v>10000</v>
      </c>
      <c r="J20" s="52"/>
      <c r="K20" s="52"/>
      <c r="L20" s="31"/>
      <c r="O20"/>
      <c r="P20"/>
      <c r="Q20"/>
      <c r="R20"/>
      <c r="S20"/>
      <c r="T20"/>
      <c r="U20"/>
      <c r="V20"/>
      <c r="W20"/>
      <c r="X20"/>
      <c r="Y20"/>
      <c r="Z20"/>
    </row>
    <row r="21" spans="1:26" ht="15" customHeight="1" x14ac:dyDescent="0.25">
      <c r="A21" s="36"/>
      <c r="B21" s="27"/>
      <c r="C21" s="27"/>
      <c r="D21" s="27"/>
      <c r="E21" s="27"/>
      <c r="F21" s="27"/>
      <c r="G21" s="27"/>
      <c r="H21" s="27"/>
      <c r="I21" s="27"/>
      <c r="J21" s="27"/>
      <c r="K21" s="52"/>
      <c r="L21" s="31"/>
      <c r="O21"/>
      <c r="P21"/>
      <c r="Q21" s="141" t="s">
        <v>113</v>
      </c>
      <c r="R21" t="s">
        <v>861</v>
      </c>
      <c r="S21" s="253">
        <f>S18-V18</f>
        <v>40400</v>
      </c>
      <c r="T21" s="141" t="s">
        <v>252</v>
      </c>
      <c r="U21" s="253">
        <f>S19-V19</f>
        <v>196400</v>
      </c>
      <c r="V21" s="141" t="s">
        <v>127</v>
      </c>
      <c r="W21"/>
      <c r="X21"/>
      <c r="Y21"/>
      <c r="Z21"/>
    </row>
    <row r="22" spans="1:26" ht="15" customHeight="1" x14ac:dyDescent="0.25">
      <c r="A22" s="36"/>
      <c r="B22" s="52"/>
      <c r="C22" s="52"/>
      <c r="D22" s="52"/>
      <c r="E22" s="52"/>
      <c r="F22" s="52"/>
      <c r="G22" s="52"/>
      <c r="H22" s="52"/>
      <c r="I22" s="52"/>
      <c r="J22" s="52"/>
      <c r="K22" s="52"/>
      <c r="L22" s="31"/>
      <c r="O22"/>
      <c r="P22"/>
      <c r="Q22"/>
      <c r="R22"/>
      <c r="S22"/>
      <c r="T22"/>
      <c r="U22"/>
      <c r="V22"/>
      <c r="W22"/>
      <c r="X22"/>
      <c r="Y22"/>
      <c r="Z22"/>
    </row>
    <row r="23" spans="1:26" ht="15" customHeight="1" x14ac:dyDescent="0.25">
      <c r="A23" s="36"/>
      <c r="B23" s="238" t="s">
        <v>841</v>
      </c>
      <c r="C23" s="52"/>
      <c r="D23" s="52"/>
      <c r="E23" s="52"/>
      <c r="F23" s="52"/>
      <c r="G23" s="52"/>
      <c r="H23" s="52"/>
      <c r="I23" s="52"/>
      <c r="J23" s="52"/>
      <c r="K23" s="52"/>
      <c r="L23" s="31"/>
      <c r="O23"/>
      <c r="P23"/>
      <c r="Q23" s="141" t="s">
        <v>113</v>
      </c>
      <c r="R23" s="347">
        <f>MAX(S21,U21)</f>
        <v>196400</v>
      </c>
      <c r="S23" s="349" t="str">
        <f>IF(LEFT(P13,LEN(P13)-1)=D8,"  &lt;==  use this value in Step 2","")</f>
        <v xml:space="preserve">  &lt;==  use this value in Step 2</v>
      </c>
      <c r="T23"/>
      <c r="U23"/>
      <c r="V23"/>
      <c r="W23"/>
      <c r="X23"/>
      <c r="Y23"/>
      <c r="Z23"/>
    </row>
    <row r="24" spans="1:26" ht="15" customHeight="1" x14ac:dyDescent="0.25">
      <c r="A24" s="36"/>
      <c r="B24" s="239" t="s">
        <v>842</v>
      </c>
      <c r="C24" s="109" t="s">
        <v>843</v>
      </c>
      <c r="D24" s="109"/>
      <c r="E24" s="109"/>
      <c r="F24" s="109"/>
      <c r="G24" s="109"/>
      <c r="H24" s="109"/>
      <c r="I24" s="109"/>
      <c r="J24" s="160"/>
      <c r="K24" s="52"/>
      <c r="L24" s="31"/>
      <c r="O24"/>
      <c r="P24"/>
      <c r="Q24"/>
      <c r="R24"/>
      <c r="S24"/>
      <c r="T24"/>
      <c r="U24"/>
      <c r="V24"/>
      <c r="W24"/>
      <c r="X24"/>
      <c r="Y24"/>
      <c r="Z24"/>
    </row>
    <row r="25" spans="1:26" ht="15" customHeight="1" x14ac:dyDescent="0.25">
      <c r="A25" s="36"/>
      <c r="B25" s="234" t="s">
        <v>507</v>
      </c>
      <c r="C25" s="52" t="s">
        <v>844</v>
      </c>
      <c r="D25" s="52"/>
      <c r="E25" s="52"/>
      <c r="F25" s="52"/>
      <c r="G25" s="52"/>
      <c r="H25" s="52"/>
      <c r="I25" s="52"/>
      <c r="J25" s="152"/>
      <c r="K25" s="52"/>
      <c r="L25" s="31"/>
      <c r="O25" s="287" t="s">
        <v>406</v>
      </c>
      <c r="P25" t="s">
        <v>865</v>
      </c>
      <c r="Q25"/>
      <c r="R25"/>
      <c r="S25"/>
      <c r="T25"/>
      <c r="U25"/>
      <c r="V25"/>
      <c r="W25"/>
      <c r="X25"/>
      <c r="Y25"/>
      <c r="Z25"/>
    </row>
    <row r="26" spans="1:26" ht="15" customHeight="1" x14ac:dyDescent="0.25">
      <c r="A26" s="36"/>
      <c r="B26" s="234" t="s">
        <v>845</v>
      </c>
      <c r="C26" s="52" t="s">
        <v>846</v>
      </c>
      <c r="D26" s="52"/>
      <c r="E26" s="52"/>
      <c r="F26" s="52"/>
      <c r="G26" s="52"/>
      <c r="H26" s="52"/>
      <c r="I26" s="52"/>
      <c r="J26" s="152"/>
      <c r="K26" s="52"/>
      <c r="L26" s="31"/>
      <c r="O26"/>
      <c r="P26"/>
      <c r="Q26"/>
      <c r="R26"/>
      <c r="S26"/>
      <c r="T26"/>
      <c r="U26"/>
      <c r="V26"/>
      <c r="W26"/>
      <c r="X26"/>
      <c r="Y26"/>
      <c r="Z26"/>
    </row>
    <row r="27" spans="1:26" ht="15" customHeight="1" x14ac:dyDescent="0.25">
      <c r="A27" s="36"/>
      <c r="B27" s="98" t="s">
        <v>847</v>
      </c>
      <c r="C27" s="97" t="s">
        <v>848</v>
      </c>
      <c r="D27" s="97"/>
      <c r="E27" s="97"/>
      <c r="F27" s="97"/>
      <c r="G27" s="97"/>
      <c r="H27" s="97"/>
      <c r="I27" s="97"/>
      <c r="J27" s="153"/>
      <c r="K27" s="52"/>
      <c r="L27" s="31"/>
      <c r="O27"/>
      <c r="P27" s="141" t="s">
        <v>845</v>
      </c>
      <c r="Q27" s="141" t="s">
        <v>113</v>
      </c>
      <c r="R27" s="141" t="s">
        <v>847</v>
      </c>
      <c r="S27" s="141" t="s">
        <v>250</v>
      </c>
      <c r="T27" s="141" t="s">
        <v>851</v>
      </c>
      <c r="U27"/>
      <c r="V27"/>
      <c r="W27"/>
      <c r="X27"/>
      <c r="Y27"/>
      <c r="Z27"/>
    </row>
    <row r="28" spans="1:26" ht="15" customHeight="1" x14ac:dyDescent="0.25">
      <c r="A28" s="36"/>
      <c r="B28" s="234" t="s">
        <v>849</v>
      </c>
      <c r="C28" s="52" t="s">
        <v>850</v>
      </c>
      <c r="D28" s="52"/>
      <c r="E28" s="52"/>
      <c r="F28" s="52"/>
      <c r="G28" s="52"/>
      <c r="H28" s="52"/>
      <c r="I28" s="52"/>
      <c r="J28" s="152"/>
      <c r="K28" s="52"/>
      <c r="L28" s="31"/>
      <c r="O28"/>
      <c r="P28"/>
      <c r="Q28" s="141" t="s">
        <v>113</v>
      </c>
      <c r="R28" s="142">
        <f>IF(D9="Model Approach", R11, R23)</f>
        <v>196400</v>
      </c>
      <c r="S28" s="141" t="s">
        <v>250</v>
      </c>
      <c r="T28" s="142">
        <f>E15</f>
        <v>38800</v>
      </c>
      <c r="U28"/>
      <c r="V28"/>
      <c r="W28"/>
      <c r="X28"/>
      <c r="Y28"/>
      <c r="Z28"/>
    </row>
    <row r="29" spans="1:26" ht="15" customHeight="1" x14ac:dyDescent="0.25">
      <c r="A29" s="36"/>
      <c r="B29" s="98" t="s">
        <v>851</v>
      </c>
      <c r="C29" s="97" t="s">
        <v>508</v>
      </c>
      <c r="D29" s="97"/>
      <c r="E29" s="97"/>
      <c r="F29" s="97"/>
      <c r="G29" s="97"/>
      <c r="H29" s="97"/>
      <c r="I29" s="97"/>
      <c r="J29" s="153"/>
      <c r="K29" s="52"/>
      <c r="L29" s="31"/>
      <c r="O29"/>
      <c r="P29"/>
      <c r="Q29" s="141" t="s">
        <v>113</v>
      </c>
      <c r="R29" s="268">
        <f>R28-T28</f>
        <v>157600</v>
      </c>
      <c r="S29"/>
      <c r="T29"/>
      <c r="U29"/>
      <c r="V29"/>
      <c r="W29"/>
      <c r="X29"/>
      <c r="Y29"/>
      <c r="Z29"/>
    </row>
    <row r="30" spans="1:26" ht="15" customHeight="1" x14ac:dyDescent="0.25">
      <c r="A30" s="36"/>
      <c r="B30" s="27"/>
      <c r="C30" s="27"/>
      <c r="D30" s="27"/>
      <c r="E30" s="27"/>
      <c r="F30" s="27"/>
      <c r="G30" s="27"/>
      <c r="H30" s="27"/>
      <c r="I30" s="27"/>
      <c r="J30" s="27"/>
      <c r="K30" s="27"/>
      <c r="L30" s="31"/>
      <c r="O30"/>
      <c r="P30"/>
      <c r="Q30"/>
      <c r="R30"/>
      <c r="S30"/>
      <c r="T30"/>
      <c r="U30"/>
      <c r="V30"/>
      <c r="W30"/>
      <c r="X30"/>
      <c r="Y30"/>
      <c r="Z30"/>
    </row>
    <row r="31" spans="1:26" ht="15" customHeight="1" x14ac:dyDescent="0.25">
      <c r="A31" s="35" t="s">
        <v>3</v>
      </c>
      <c r="B31" s="27" t="s">
        <v>509</v>
      </c>
      <c r="C31" s="27"/>
      <c r="D31" s="27"/>
      <c r="E31" s="27"/>
      <c r="F31" s="27"/>
      <c r="G31" s="27"/>
      <c r="H31" s="27"/>
      <c r="I31" s="27"/>
      <c r="J31" s="27"/>
      <c r="K31" s="27"/>
      <c r="L31" s="31"/>
      <c r="O31" s="343" t="s">
        <v>678</v>
      </c>
      <c r="P31" t="s">
        <v>866</v>
      </c>
      <c r="Q31"/>
      <c r="R31"/>
      <c r="S31"/>
      <c r="T31"/>
      <c r="U31"/>
      <c r="V31"/>
      <c r="W31"/>
      <c r="X31"/>
      <c r="Y31"/>
      <c r="Z31"/>
    </row>
    <row r="32" spans="1:26" ht="15" customHeight="1" thickBot="1" x14ac:dyDescent="0.3">
      <c r="A32" s="9">
        <f>INDEX('Point Grid'!$C$8:$I$35,MATCH($A$1,'Point Grid'!$A$8:$A$35,0),MATCH(A31,'Point Grid'!$C$7:$I$7,0))</f>
        <v>0.5</v>
      </c>
      <c r="B32" s="27"/>
      <c r="C32" s="27"/>
      <c r="D32" s="27"/>
      <c r="E32" s="27"/>
      <c r="F32" s="27"/>
      <c r="G32" s="27"/>
      <c r="H32" s="27"/>
      <c r="I32" s="27"/>
      <c r="J32" s="27"/>
      <c r="K32" s="27"/>
      <c r="L32" s="31"/>
      <c r="O32"/>
      <c r="P32"/>
      <c r="Q32"/>
      <c r="R32"/>
      <c r="S32"/>
      <c r="T32"/>
      <c r="U32"/>
      <c r="V32"/>
      <c r="W32"/>
      <c r="X32"/>
      <c r="Y32"/>
      <c r="Z32"/>
    </row>
    <row r="33" spans="1:26" ht="15" customHeight="1" thickBot="1" x14ac:dyDescent="0.3">
      <c r="A33" s="5"/>
      <c r="B33" s="27"/>
      <c r="C33" s="27"/>
      <c r="D33" s="27"/>
      <c r="E33" s="27"/>
      <c r="F33" s="27"/>
      <c r="G33" s="27"/>
      <c r="H33" s="27"/>
      <c r="I33" s="27"/>
      <c r="J33" s="27"/>
      <c r="K33" s="27"/>
      <c r="L33" s="31"/>
      <c r="O33"/>
      <c r="P33" s="141" t="s">
        <v>842</v>
      </c>
      <c r="Q33" s="141" t="s">
        <v>113</v>
      </c>
      <c r="R33" s="141">
        <v>1.25</v>
      </c>
      <c r="S33" s="141" t="s">
        <v>128</v>
      </c>
      <c r="T33" s="141" t="s">
        <v>125</v>
      </c>
      <c r="U33" s="141" t="s">
        <v>507</v>
      </c>
      <c r="V33" s="141" t="s">
        <v>126</v>
      </c>
      <c r="W33" s="141" t="s">
        <v>845</v>
      </c>
      <c r="X33" s="141" t="s">
        <v>127</v>
      </c>
      <c r="Y33"/>
      <c r="Z33"/>
    </row>
    <row r="34" spans="1:26" ht="15" customHeight="1" x14ac:dyDescent="0.25">
      <c r="A34" s="30"/>
      <c r="B34" s="27"/>
      <c r="C34" s="27"/>
      <c r="D34" s="27"/>
      <c r="E34" s="27"/>
      <c r="F34" s="27"/>
      <c r="G34" s="27"/>
      <c r="H34" s="27"/>
      <c r="I34" s="27"/>
      <c r="J34" s="27"/>
      <c r="K34" s="27"/>
      <c r="L34" s="31"/>
      <c r="O34"/>
      <c r="P34"/>
      <c r="Q34" s="141" t="s">
        <v>113</v>
      </c>
      <c r="R34" s="141">
        <f>R33</f>
        <v>1.25</v>
      </c>
      <c r="S34" s="141" t="s">
        <v>128</v>
      </c>
      <c r="T34" s="141" t="s">
        <v>125</v>
      </c>
      <c r="U34" s="102">
        <f>E14</f>
        <v>60000</v>
      </c>
      <c r="V34" s="141" t="s">
        <v>126</v>
      </c>
      <c r="W34" s="268">
        <f>R29</f>
        <v>157600</v>
      </c>
      <c r="X34" s="141" t="s">
        <v>127</v>
      </c>
      <c r="Y34"/>
      <c r="Z34"/>
    </row>
    <row r="35" spans="1:26" ht="15" customHeight="1" x14ac:dyDescent="0.25">
      <c r="A35" s="35" t="s">
        <v>4</v>
      </c>
      <c r="B35" s="27" t="s">
        <v>510</v>
      </c>
      <c r="C35" s="27"/>
      <c r="D35" s="27"/>
      <c r="E35" s="27"/>
      <c r="F35" s="27"/>
      <c r="G35" s="27"/>
      <c r="H35" s="27"/>
      <c r="I35" s="27"/>
      <c r="J35" s="27"/>
      <c r="K35" s="27"/>
      <c r="L35" s="31"/>
      <c r="O35"/>
      <c r="P35"/>
      <c r="Q35" s="141" t="s">
        <v>113</v>
      </c>
      <c r="R35" s="299">
        <f>R34 * (U34+W34)</f>
        <v>272000</v>
      </c>
      <c r="S35"/>
      <c r="T35"/>
      <c r="U35"/>
      <c r="V35"/>
      <c r="W35"/>
      <c r="X35"/>
      <c r="Y35"/>
      <c r="Z35"/>
    </row>
    <row r="36" spans="1:26" ht="15" customHeight="1" thickBot="1" x14ac:dyDescent="0.3">
      <c r="A36" s="9">
        <f>INDEX('Point Grid'!$C$8:$I$35,MATCH($A$1,'Point Grid'!$A$8:$A$35,0),MATCH(A35,'Point Grid'!$C$7:$I$7,0))</f>
        <v>0.75</v>
      </c>
      <c r="B36" s="27"/>
      <c r="C36" s="27"/>
      <c r="D36" s="27"/>
      <c r="E36" s="27"/>
      <c r="F36" s="27"/>
      <c r="G36" s="27"/>
      <c r="H36" s="27"/>
      <c r="I36" s="27"/>
      <c r="J36" s="27"/>
      <c r="K36" s="27"/>
      <c r="L36" s="31"/>
      <c r="O36"/>
      <c r="P36"/>
      <c r="Q36"/>
      <c r="R36" s="351" t="s">
        <v>499</v>
      </c>
      <c r="S36"/>
      <c r="T36"/>
      <c r="U36"/>
      <c r="V36"/>
      <c r="W36"/>
      <c r="X36"/>
      <c r="Y36"/>
      <c r="Z36"/>
    </row>
    <row r="37" spans="1:26" ht="15" customHeight="1" thickBot="1" x14ac:dyDescent="0.3">
      <c r="A37" s="5"/>
      <c r="B37" s="27"/>
      <c r="C37" s="27"/>
      <c r="D37" s="27"/>
      <c r="E37" s="27"/>
      <c r="F37" s="27"/>
      <c r="G37" s="27"/>
      <c r="H37" s="27"/>
      <c r="I37" s="27"/>
      <c r="J37" s="27"/>
      <c r="K37" s="27"/>
      <c r="L37" s="31"/>
    </row>
    <row r="38" spans="1:26" ht="15" customHeight="1" x14ac:dyDescent="0.25">
      <c r="A38" s="30"/>
      <c r="B38" s="27"/>
      <c r="C38" s="27"/>
      <c r="D38" s="27"/>
      <c r="E38" s="27"/>
      <c r="F38" s="27"/>
      <c r="G38" s="27"/>
      <c r="H38" s="27"/>
      <c r="I38" s="27"/>
      <c r="J38" s="27"/>
      <c r="K38" s="27"/>
      <c r="L38" s="31"/>
      <c r="N38" s="345" t="s">
        <v>3</v>
      </c>
      <c r="O38" s="214" t="s">
        <v>78</v>
      </c>
      <c r="P38"/>
      <c r="Q38" s="212"/>
      <c r="R38" s="212"/>
      <c r="S38" s="212"/>
      <c r="T38" s="212"/>
      <c r="U38" s="212"/>
      <c r="V38" s="212"/>
      <c r="W38" s="212"/>
    </row>
    <row r="39" spans="1:26" ht="15" customHeight="1" thickBot="1" x14ac:dyDescent="0.3">
      <c r="A39" s="37"/>
      <c r="B39" s="37"/>
      <c r="C39" s="37"/>
      <c r="D39" s="37"/>
      <c r="E39" s="37"/>
      <c r="F39" s="37"/>
      <c r="G39" s="37"/>
      <c r="H39" s="37"/>
      <c r="I39" s="37"/>
      <c r="J39" s="37"/>
      <c r="K39" s="37"/>
      <c r="L39" s="34"/>
      <c r="N39" s="212"/>
      <c r="O39" s="215" t="s">
        <v>511</v>
      </c>
      <c r="P39" s="212"/>
      <c r="Q39" s="212"/>
      <c r="R39" s="212"/>
      <c r="S39" s="212"/>
      <c r="T39" s="212"/>
      <c r="U39" s="212"/>
      <c r="V39" s="212"/>
      <c r="W39" s="212"/>
    </row>
    <row r="40" spans="1:26" ht="15" customHeight="1" x14ac:dyDescent="0.25">
      <c r="N40" s="212"/>
      <c r="O40" s="216" t="s">
        <v>512</v>
      </c>
      <c r="P40" s="212"/>
      <c r="Q40" s="212"/>
      <c r="R40" s="212"/>
      <c r="S40" s="212"/>
      <c r="T40" s="212"/>
      <c r="U40" s="212"/>
      <c r="V40" s="212"/>
      <c r="W40" s="212"/>
    </row>
    <row r="41" spans="1:26" ht="15" customHeight="1" x14ac:dyDescent="0.25">
      <c r="N41" s="212"/>
      <c r="O41" s="216" t="s">
        <v>513</v>
      </c>
      <c r="P41" s="212"/>
      <c r="Q41" s="212"/>
      <c r="R41" s="212"/>
      <c r="S41" s="212"/>
      <c r="T41" s="212"/>
      <c r="U41" s="212"/>
      <c r="V41" s="212"/>
      <c r="W41" s="212"/>
    </row>
    <row r="42" spans="1:26" ht="15" customHeight="1" x14ac:dyDescent="0.25">
      <c r="N42" s="212"/>
      <c r="O42" s="217" t="s">
        <v>514</v>
      </c>
      <c r="P42" s="212"/>
      <c r="Q42" s="212"/>
      <c r="R42" s="212"/>
      <c r="S42" s="212"/>
      <c r="T42" s="212"/>
      <c r="U42" s="212"/>
      <c r="V42" s="212"/>
      <c r="W42" s="212"/>
    </row>
    <row r="43" spans="1:26" ht="15" customHeight="1" x14ac:dyDescent="0.25">
      <c r="N43" s="212"/>
      <c r="O43" s="216" t="s">
        <v>515</v>
      </c>
      <c r="P43" s="212"/>
      <c r="Q43" s="212"/>
      <c r="R43" s="212"/>
      <c r="S43" s="212"/>
      <c r="T43" s="212"/>
      <c r="U43" s="212"/>
      <c r="V43" s="212"/>
      <c r="W43" s="212"/>
    </row>
    <row r="44" spans="1:26" ht="15" customHeight="1" x14ac:dyDescent="0.25">
      <c r="N44" s="212"/>
      <c r="O44" s="216" t="s">
        <v>516</v>
      </c>
      <c r="P44" s="212"/>
      <c r="Q44" s="212"/>
      <c r="R44" s="212"/>
      <c r="S44" s="212"/>
      <c r="T44" s="212"/>
      <c r="U44" s="212"/>
      <c r="V44" s="212"/>
      <c r="W44" s="212"/>
    </row>
    <row r="45" spans="1:26" ht="15" customHeight="1" x14ac:dyDescent="0.25">
      <c r="N45" s="212"/>
      <c r="O45" s="215" t="s">
        <v>517</v>
      </c>
      <c r="P45" s="212"/>
      <c r="Q45" s="212"/>
      <c r="R45" s="212"/>
      <c r="S45" s="212"/>
      <c r="T45" s="212"/>
      <c r="U45" s="212"/>
      <c r="V45" s="212"/>
      <c r="W45"/>
    </row>
    <row r="46" spans="1:26" ht="15" customHeight="1" x14ac:dyDescent="0.25">
      <c r="N46" s="212"/>
      <c r="O46" s="212" t="s">
        <v>518</v>
      </c>
      <c r="P46" s="212"/>
      <c r="Q46" s="212"/>
      <c r="R46" s="212"/>
      <c r="S46" s="212"/>
      <c r="T46" s="212"/>
      <c r="U46" s="212"/>
      <c r="V46" s="212"/>
      <c r="W46" s="212"/>
    </row>
    <row r="47" spans="1:26" ht="15" customHeight="1" x14ac:dyDescent="0.25">
      <c r="N47" s="212"/>
      <c r="O47" s="216" t="s">
        <v>519</v>
      </c>
      <c r="P47" s="212"/>
      <c r="Q47" s="212"/>
      <c r="R47" s="212"/>
      <c r="S47" s="212"/>
      <c r="T47" s="212"/>
      <c r="U47" s="212"/>
      <c r="V47" s="212"/>
      <c r="W47" s="212"/>
    </row>
    <row r="48" spans="1:26" ht="15" customHeight="1" x14ac:dyDescent="0.25">
      <c r="N48" s="212"/>
      <c r="O48" s="216" t="s">
        <v>520</v>
      </c>
      <c r="P48" s="212"/>
      <c r="Q48" s="212"/>
      <c r="R48" s="212"/>
      <c r="S48" s="212"/>
      <c r="T48" s="212"/>
      <c r="U48" s="212"/>
      <c r="V48" s="212"/>
      <c r="W48" s="212"/>
    </row>
    <row r="49" spans="14:23" ht="15" customHeight="1" x14ac:dyDescent="0.25">
      <c r="N49" s="212"/>
      <c r="O49" s="216" t="s">
        <v>521</v>
      </c>
      <c r="P49" s="212"/>
      <c r="Q49" s="212"/>
      <c r="R49" s="212"/>
      <c r="S49" s="212"/>
      <c r="T49" s="212"/>
      <c r="U49" s="212"/>
      <c r="V49" s="212"/>
      <c r="W49" s="212"/>
    </row>
    <row r="50" spans="14:23" ht="15" customHeight="1" x14ac:dyDescent="0.25">
      <c r="N50" s="212"/>
      <c r="O50" s="216" t="s">
        <v>522</v>
      </c>
      <c r="P50" s="212"/>
      <c r="Q50" s="212"/>
      <c r="R50" s="212"/>
      <c r="S50" s="212"/>
      <c r="T50" s="212"/>
      <c r="U50" s="212"/>
      <c r="V50" s="212"/>
      <c r="W50" s="212"/>
    </row>
    <row r="51" spans="14:23" ht="15" customHeight="1" x14ac:dyDescent="0.25">
      <c r="N51" s="212"/>
      <c r="O51" s="218" t="s">
        <v>523</v>
      </c>
      <c r="P51" s="212"/>
      <c r="Q51" s="212"/>
      <c r="R51" s="212"/>
      <c r="S51" s="212"/>
      <c r="T51" s="212"/>
      <c r="U51" s="212"/>
      <c r="V51" s="212"/>
      <c r="W51" s="212"/>
    </row>
    <row r="52" spans="14:23" ht="15" customHeight="1" x14ac:dyDescent="0.25">
      <c r="N52" s="212"/>
      <c r="O52" s="219" t="s">
        <v>524</v>
      </c>
      <c r="P52" s="212"/>
      <c r="Q52" s="212"/>
      <c r="R52" s="212"/>
      <c r="S52" s="212"/>
      <c r="T52" s="212"/>
      <c r="U52" s="212"/>
      <c r="V52" s="212"/>
      <c r="W52" s="212"/>
    </row>
    <row r="53" spans="14:23" ht="15" customHeight="1" x14ac:dyDescent="0.25">
      <c r="N53"/>
      <c r="O53" s="219" t="s">
        <v>525</v>
      </c>
      <c r="P53" s="212"/>
      <c r="Q53"/>
      <c r="R53"/>
      <c r="S53"/>
      <c r="T53"/>
      <c r="U53"/>
      <c r="V53"/>
      <c r="W53" s="212"/>
    </row>
    <row r="54" spans="14:23" ht="15" customHeight="1" x14ac:dyDescent="0.25">
      <c r="N54" s="213"/>
      <c r="O54" s="213"/>
      <c r="P54" s="213"/>
      <c r="Q54" s="213"/>
      <c r="R54" s="213"/>
      <c r="S54" s="213"/>
      <c r="T54" s="213"/>
      <c r="U54" s="213"/>
      <c r="V54" s="213"/>
      <c r="W54" s="213"/>
    </row>
    <row r="55" spans="14:23" ht="15" customHeight="1" x14ac:dyDescent="0.25">
      <c r="N55" s="346" t="s">
        <v>4</v>
      </c>
      <c r="O55" s="214" t="s">
        <v>55</v>
      </c>
      <c r="P55" s="213" t="s">
        <v>526</v>
      </c>
      <c r="Q55" s="213"/>
      <c r="R55" s="213"/>
      <c r="S55" s="213"/>
      <c r="T55" s="213"/>
      <c r="U55" s="213"/>
      <c r="V55" s="213"/>
      <c r="W55" s="213"/>
    </row>
    <row r="56" spans="14:23" ht="15" customHeight="1" x14ac:dyDescent="0.25">
      <c r="N56" s="213"/>
      <c r="O56" s="213" t="s">
        <v>527</v>
      </c>
      <c r="P56" s="213"/>
      <c r="Q56" s="220" t="s">
        <v>528</v>
      </c>
      <c r="R56" s="213"/>
      <c r="S56" s="213"/>
      <c r="T56" s="213"/>
      <c r="U56" s="213"/>
      <c r="V56" s="213"/>
      <c r="W56" s="213"/>
    </row>
    <row r="57" spans="14:23" ht="15" customHeight="1" x14ac:dyDescent="0.25">
      <c r="N57" s="213"/>
      <c r="O57" s="213" t="s">
        <v>529</v>
      </c>
      <c r="P57" s="213"/>
      <c r="Q57" s="220" t="s">
        <v>530</v>
      </c>
      <c r="R57" s="213"/>
      <c r="S57" s="213"/>
      <c r="T57" s="213"/>
      <c r="U57" s="213"/>
      <c r="V57" s="213"/>
      <c r="W57" s="213"/>
    </row>
    <row r="58" spans="14:23" ht="15" customHeight="1" x14ac:dyDescent="0.25">
      <c r="N58" s="213"/>
      <c r="O58" s="213" t="s">
        <v>531</v>
      </c>
      <c r="P58" s="213"/>
      <c r="Q58" s="220" t="s">
        <v>532</v>
      </c>
      <c r="R58" s="213"/>
      <c r="S58" s="213"/>
      <c r="T58" s="213"/>
      <c r="U58" s="213"/>
      <c r="V58" s="213"/>
      <c r="W58" s="213"/>
    </row>
    <row r="59" spans="14:23" ht="15" customHeight="1" x14ac:dyDescent="0.25">
      <c r="N59" s="213"/>
      <c r="O59" s="213" t="s">
        <v>533</v>
      </c>
      <c r="P59" s="213"/>
      <c r="Q59" s="220" t="s">
        <v>534</v>
      </c>
      <c r="R59" s="213"/>
      <c r="S59" s="213"/>
      <c r="T59" s="213"/>
      <c r="U59" s="213"/>
      <c r="V59" s="213"/>
      <c r="W59" s="213"/>
    </row>
    <row r="60" spans="14:23" ht="15" customHeight="1" x14ac:dyDescent="0.25">
      <c r="N60" s="213"/>
      <c r="O60" s="213" t="s">
        <v>535</v>
      </c>
      <c r="P60" s="213"/>
      <c r="Q60" s="220" t="s">
        <v>536</v>
      </c>
      <c r="R60" s="213"/>
      <c r="S60" s="213"/>
      <c r="T60" s="213"/>
      <c r="U60" s="213"/>
      <c r="V60" s="213"/>
      <c r="W60" s="213"/>
    </row>
    <row r="61" spans="14:23" ht="15" customHeight="1" x14ac:dyDescent="0.25">
      <c r="N61" s="213"/>
      <c r="O61" s="213" t="s">
        <v>537</v>
      </c>
      <c r="P61" s="213"/>
      <c r="Q61" s="220" t="s">
        <v>538</v>
      </c>
      <c r="R61" s="213"/>
      <c r="S61" s="213"/>
      <c r="T61" s="213"/>
      <c r="U61" s="213"/>
      <c r="V61" s="213"/>
      <c r="W61" s="213"/>
    </row>
    <row r="62" spans="14:23" ht="15" customHeight="1" x14ac:dyDescent="0.35">
      <c r="N62" s="213"/>
      <c r="O62" s="213" t="s">
        <v>539</v>
      </c>
      <c r="P62" s="213"/>
      <c r="Q62" s="220" t="s">
        <v>540</v>
      </c>
      <c r="R62" s="213"/>
      <c r="S62" s="213"/>
      <c r="T62" s="213"/>
      <c r="U62" s="213"/>
      <c r="V62" s="213"/>
      <c r="W62" s="213"/>
    </row>
    <row r="63" spans="14:23" ht="15" customHeight="1" x14ac:dyDescent="0.25"/>
    <row r="64" spans="14:23"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sheetData>
  <mergeCells count="1">
    <mergeCell ref="K1:L1"/>
  </mergeCells>
  <conditionalFormatting sqref="B1">
    <cfRule type="cellIs" dxfId="61" priority="1" operator="equal">
      <formula>"Incomplete"</formula>
    </cfRule>
    <cfRule type="cellIs" dxfId="60" priority="2" operator="equal">
      <formula>"Flag for Review"</formula>
    </cfRule>
    <cfRule type="cellIs" dxfId="59"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V14"/>
  <sheetViews>
    <sheetView workbookViewId="0"/>
  </sheetViews>
  <sheetFormatPr defaultColWidth="9.140625" defaultRowHeight="15" x14ac:dyDescent="0.25"/>
  <cols>
    <col min="1" max="1" width="8.7109375" style="29" customWidth="1"/>
    <col min="2" max="2" width="16.7109375" style="29" customWidth="1"/>
    <col min="3" max="8" width="9.140625" style="29" customWidth="1"/>
    <col min="9" max="16384" width="9.140625" style="29"/>
  </cols>
  <sheetData>
    <row r="1" spans="1:22" x14ac:dyDescent="0.25">
      <c r="A1" s="7">
        <v>15</v>
      </c>
      <c r="B1" s="41" t="s">
        <v>12</v>
      </c>
      <c r="C1" s="28"/>
      <c r="D1" s="28"/>
      <c r="E1" s="28"/>
      <c r="F1" s="28"/>
      <c r="G1" s="28"/>
      <c r="H1" s="388" t="s">
        <v>30</v>
      </c>
      <c r="I1" s="390"/>
      <c r="K1" s="29" t="s">
        <v>54</v>
      </c>
      <c r="L1" s="70" t="s">
        <v>876</v>
      </c>
    </row>
    <row r="2" spans="1:22" x14ac:dyDescent="0.25">
      <c r="A2" s="30"/>
      <c r="B2" s="27"/>
      <c r="C2" s="27"/>
      <c r="D2" s="27"/>
      <c r="E2" s="27"/>
      <c r="F2" s="36"/>
      <c r="G2" s="36"/>
      <c r="H2" s="27"/>
      <c r="I2" s="31"/>
    </row>
    <row r="3" spans="1:22" ht="15.75" x14ac:dyDescent="0.25">
      <c r="A3" s="8" t="s">
        <v>13</v>
      </c>
      <c r="B3" s="27"/>
      <c r="C3" s="27"/>
      <c r="D3" s="27"/>
      <c r="E3" s="27"/>
      <c r="F3" s="27"/>
      <c r="G3" s="27"/>
      <c r="H3" s="27"/>
      <c r="I3" s="31"/>
      <c r="L3" s="78"/>
      <c r="M3" s="78"/>
      <c r="N3"/>
      <c r="O3" s="78"/>
      <c r="P3" s="78"/>
      <c r="Q3" s="78"/>
      <c r="R3" s="78"/>
      <c r="S3" s="78"/>
      <c r="T3" s="78"/>
      <c r="U3" s="78"/>
    </row>
    <row r="4" spans="1:22" ht="15.75" x14ac:dyDescent="0.25">
      <c r="A4" s="9">
        <f>INDEX('Point Grid'!B:B,MATCH($A$1,'Point Grid'!A:A,0))</f>
        <v>1</v>
      </c>
      <c r="B4" s="27"/>
      <c r="C4" s="27"/>
      <c r="D4" s="27"/>
      <c r="E4" s="27"/>
      <c r="F4" s="27"/>
      <c r="G4" s="27"/>
      <c r="H4" s="27"/>
      <c r="I4" s="31"/>
      <c r="K4" s="57" t="s">
        <v>2</v>
      </c>
      <c r="L4" s="211" t="s">
        <v>502</v>
      </c>
      <c r="R4" s="78"/>
      <c r="S4" s="78"/>
      <c r="T4" s="78"/>
      <c r="U4" s="78"/>
    </row>
    <row r="5" spans="1:22" ht="15.75" x14ac:dyDescent="0.25">
      <c r="A5" s="30"/>
      <c r="B5" s="27"/>
      <c r="C5" s="27"/>
      <c r="D5" s="27"/>
      <c r="E5" s="27"/>
      <c r="F5" s="27"/>
      <c r="G5" s="27"/>
      <c r="H5" s="27"/>
      <c r="I5" s="31"/>
      <c r="L5" s="211" t="s">
        <v>503</v>
      </c>
      <c r="R5" s="78"/>
      <c r="S5" s="78"/>
      <c r="T5" s="78"/>
      <c r="U5" s="78"/>
    </row>
    <row r="6" spans="1:22" ht="15.75" x14ac:dyDescent="0.25">
      <c r="A6" s="35" t="s">
        <v>2</v>
      </c>
      <c r="B6" s="27" t="s">
        <v>501</v>
      </c>
      <c r="C6" s="27"/>
      <c r="D6" s="27"/>
      <c r="E6" s="27"/>
      <c r="F6" s="27"/>
      <c r="G6" s="27"/>
      <c r="H6" s="27"/>
      <c r="I6" s="31"/>
      <c r="R6" s="78"/>
      <c r="S6" s="78"/>
      <c r="T6" s="78"/>
      <c r="U6" s="78"/>
    </row>
    <row r="7" spans="1:22" ht="16.5" thickBot="1" x14ac:dyDescent="0.3">
      <c r="A7" s="9">
        <f>INDEX('Point Grid'!$C$8:$I$35,MATCH($A$1,'Point Grid'!$A$8:$A$35,0),MATCH(A6,'Point Grid'!$C$7:$I$7,0))</f>
        <v>0.5</v>
      </c>
      <c r="B7" s="27"/>
      <c r="C7" s="27"/>
      <c r="D7" s="27"/>
      <c r="E7" s="27"/>
      <c r="F7" s="27"/>
      <c r="G7" s="27"/>
      <c r="H7" s="27"/>
      <c r="I7" s="31"/>
      <c r="R7" s="78"/>
      <c r="S7" s="78"/>
      <c r="T7" s="78"/>
      <c r="U7" s="78"/>
    </row>
    <row r="8" spans="1:22" ht="16.5" thickBot="1" x14ac:dyDescent="0.3">
      <c r="A8" s="5"/>
      <c r="B8" s="27"/>
      <c r="C8" s="27"/>
      <c r="D8" s="27"/>
      <c r="E8" s="27"/>
      <c r="F8" s="27"/>
      <c r="G8" s="27"/>
      <c r="H8" s="27"/>
      <c r="I8" s="31"/>
      <c r="K8" s="57" t="s">
        <v>3</v>
      </c>
      <c r="L8" s="29" t="s">
        <v>505</v>
      </c>
      <c r="O8" s="59"/>
      <c r="R8" s="78"/>
      <c r="S8" s="78"/>
      <c r="T8" s="78"/>
      <c r="U8" s="78"/>
    </row>
    <row r="9" spans="1:22" ht="15.75" x14ac:dyDescent="0.25">
      <c r="A9" s="36"/>
      <c r="B9" s="27"/>
      <c r="C9" s="27"/>
      <c r="D9" s="27"/>
      <c r="E9" s="27"/>
      <c r="F9" s="27"/>
      <c r="G9" s="27"/>
      <c r="H9" s="27"/>
      <c r="I9" s="31"/>
      <c r="L9" s="29" t="s">
        <v>506</v>
      </c>
      <c r="R9" s="78"/>
      <c r="S9" s="78"/>
      <c r="T9" s="78"/>
      <c r="U9" s="78"/>
    </row>
    <row r="10" spans="1:22" ht="15.75" x14ac:dyDescent="0.25">
      <c r="A10" s="35" t="s">
        <v>3</v>
      </c>
      <c r="B10" s="27" t="s">
        <v>504</v>
      </c>
      <c r="C10" s="27"/>
      <c r="D10" s="27"/>
      <c r="E10" s="27"/>
      <c r="F10" s="27"/>
      <c r="G10" s="27"/>
      <c r="H10" s="27"/>
      <c r="I10" s="31"/>
      <c r="R10" s="78"/>
      <c r="S10" s="78"/>
      <c r="T10" s="78"/>
      <c r="U10" s="78"/>
    </row>
    <row r="11" spans="1:22" ht="16.5" thickBot="1" x14ac:dyDescent="0.3">
      <c r="A11" s="9">
        <f>INDEX('Point Grid'!$C$8:$I$35,MATCH($A$1,'Point Grid'!$A$8:$A$35,0),MATCH(A10,'Point Grid'!$C$7:$I$7,0))</f>
        <v>0.5</v>
      </c>
      <c r="B11" s="27"/>
      <c r="C11" s="27"/>
      <c r="D11" s="27"/>
      <c r="E11" s="27"/>
      <c r="F11" s="27"/>
      <c r="G11" s="27"/>
      <c r="H11" s="27"/>
      <c r="I11" s="31"/>
      <c r="L11" s="78"/>
      <c r="M11" s="78"/>
      <c r="N11" s="78"/>
      <c r="O11" s="78"/>
      <c r="P11" s="78"/>
      <c r="Q11" s="78"/>
      <c r="R11" s="78"/>
      <c r="S11" s="78"/>
      <c r="T11" s="78"/>
      <c r="U11" s="78"/>
    </row>
    <row r="12" spans="1:22" ht="16.5" thickBot="1" x14ac:dyDescent="0.3">
      <c r="A12" s="5"/>
      <c r="B12" s="27"/>
      <c r="C12" s="27"/>
      <c r="D12" s="27"/>
      <c r="E12" s="27"/>
      <c r="F12" s="27"/>
      <c r="G12" s="27"/>
      <c r="H12" s="27"/>
      <c r="I12" s="31"/>
      <c r="L12" s="78"/>
      <c r="M12"/>
      <c r="N12"/>
      <c r="O12"/>
      <c r="P12"/>
      <c r="Q12"/>
      <c r="R12"/>
      <c r="S12"/>
      <c r="T12"/>
      <c r="U12"/>
      <c r="V12"/>
    </row>
    <row r="13" spans="1:22" ht="15.75" x14ac:dyDescent="0.25">
      <c r="A13" s="30"/>
      <c r="B13" s="27"/>
      <c r="C13" s="27"/>
      <c r="D13" s="27"/>
      <c r="E13" s="27"/>
      <c r="F13" s="27"/>
      <c r="G13" s="27"/>
      <c r="H13" s="27"/>
      <c r="I13" s="31"/>
      <c r="L13" s="78"/>
      <c r="M13" s="78"/>
      <c r="N13" s="78"/>
      <c r="O13" s="79"/>
      <c r="P13" s="78"/>
      <c r="Q13" s="78"/>
      <c r="R13" s="78"/>
      <c r="S13" s="78"/>
      <c r="T13" s="78"/>
      <c r="U13" s="78"/>
    </row>
    <row r="14" spans="1:22" ht="15.75" thickBot="1" x14ac:dyDescent="0.3">
      <c r="A14" s="37"/>
      <c r="B14" s="37"/>
      <c r="C14" s="37"/>
      <c r="D14" s="37"/>
      <c r="E14" s="37"/>
      <c r="F14" s="37"/>
      <c r="G14" s="37"/>
      <c r="H14" s="37"/>
      <c r="I14" s="34"/>
    </row>
  </sheetData>
  <mergeCells count="1">
    <mergeCell ref="H1:I1"/>
  </mergeCells>
  <conditionalFormatting sqref="B1">
    <cfRule type="cellIs" dxfId="58" priority="1" operator="equal">
      <formula>"Incomplete"</formula>
    </cfRule>
    <cfRule type="cellIs" dxfId="57" priority="2" operator="equal">
      <formula>"Flag for Review"</formula>
    </cfRule>
    <cfRule type="cellIs" dxfId="56"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M217"/>
  <sheetViews>
    <sheetView tabSelected="1" topLeftCell="A105" zoomScale="98" zoomScaleNormal="98" workbookViewId="0">
      <selection activeCell="V113" sqref="V113"/>
    </sheetView>
  </sheetViews>
  <sheetFormatPr defaultRowHeight="15" x14ac:dyDescent="0.25"/>
  <cols>
    <col min="1" max="1" width="9.140625" customWidth="1"/>
    <col min="2" max="2" width="12" customWidth="1"/>
    <col min="3" max="3" width="11" bestFit="1" customWidth="1"/>
    <col min="4" max="4" width="12" bestFit="1" customWidth="1"/>
    <col min="6" max="6" width="15.42578125" customWidth="1"/>
    <col min="7" max="8" width="12.7109375" customWidth="1"/>
    <col min="13" max="13" width="10.85546875" customWidth="1"/>
    <col min="14" max="14" width="11.28515625" customWidth="1"/>
    <col min="19" max="19" width="12.42578125" customWidth="1"/>
    <col min="20" max="20" width="11.140625" customWidth="1"/>
    <col min="21" max="21" width="14.28515625" customWidth="1"/>
    <col min="22" max="22" width="15" customWidth="1"/>
    <col min="23" max="23" width="11.42578125" bestFit="1" customWidth="1"/>
  </cols>
  <sheetData>
    <row r="1" spans="1:26" x14ac:dyDescent="0.25">
      <c r="A1" s="7">
        <v>16</v>
      </c>
      <c r="B1" s="41" t="s">
        <v>12</v>
      </c>
      <c r="C1" s="28"/>
      <c r="D1" s="28"/>
      <c r="E1" s="28"/>
      <c r="F1" s="28"/>
      <c r="G1" s="28"/>
      <c r="H1" s="28"/>
      <c r="I1" s="28"/>
      <c r="J1" s="28"/>
      <c r="K1" s="28"/>
      <c r="L1" s="28"/>
      <c r="M1" s="28"/>
      <c r="N1" s="28"/>
      <c r="O1" s="28"/>
      <c r="P1" s="388" t="s">
        <v>30</v>
      </c>
      <c r="Q1" s="390"/>
      <c r="S1" s="29" t="s">
        <v>54</v>
      </c>
      <c r="T1" s="70" t="s">
        <v>1195</v>
      </c>
    </row>
    <row r="2" spans="1:26" x14ac:dyDescent="0.25">
      <c r="A2" s="30"/>
      <c r="B2" s="27"/>
      <c r="C2" s="27"/>
      <c r="D2" s="27"/>
      <c r="E2" s="27"/>
      <c r="F2" s="27"/>
      <c r="G2" s="27"/>
      <c r="H2" s="27"/>
      <c r="I2" s="27"/>
      <c r="J2" s="27"/>
      <c r="K2" s="27"/>
      <c r="L2" s="27"/>
      <c r="M2" s="27"/>
      <c r="N2" s="27"/>
      <c r="O2" s="27"/>
      <c r="P2" s="27"/>
      <c r="Q2" s="31"/>
      <c r="Z2" s="1"/>
    </row>
    <row r="3" spans="1:26" x14ac:dyDescent="0.25">
      <c r="A3" s="8" t="s">
        <v>13</v>
      </c>
      <c r="B3" s="27"/>
      <c r="C3" s="27"/>
      <c r="D3" s="27"/>
      <c r="E3" s="27"/>
      <c r="F3" s="27"/>
      <c r="G3" s="27"/>
      <c r="H3" s="27"/>
      <c r="I3" s="27"/>
      <c r="J3" s="27"/>
      <c r="K3" s="27"/>
      <c r="L3" s="27"/>
      <c r="M3" s="27"/>
      <c r="N3" s="27"/>
      <c r="O3" s="27"/>
      <c r="P3" s="27"/>
      <c r="Q3" s="31"/>
      <c r="S3" s="1" t="s">
        <v>1089</v>
      </c>
    </row>
    <row r="4" spans="1:26" x14ac:dyDescent="0.25">
      <c r="A4" s="9">
        <f>INDEX('Point Grid'!B:B,MATCH($A$1,'Point Grid'!A:A,0))</f>
        <v>6.5</v>
      </c>
      <c r="B4" s="27"/>
      <c r="C4" s="27"/>
      <c r="D4" s="27"/>
      <c r="E4" s="27"/>
      <c r="F4" s="27"/>
      <c r="G4" s="27"/>
      <c r="H4" s="27"/>
      <c r="I4" s="27"/>
      <c r="J4" s="27"/>
      <c r="K4" s="27"/>
      <c r="L4" s="27"/>
      <c r="M4" s="27"/>
      <c r="N4" s="27"/>
      <c r="O4" s="27"/>
      <c r="P4" s="27"/>
      <c r="Q4" s="31"/>
    </row>
    <row r="5" spans="1:26" ht="18" customHeight="1" x14ac:dyDescent="0.25">
      <c r="A5" s="30"/>
      <c r="B5" s="27"/>
      <c r="C5" s="27"/>
      <c r="D5" s="27"/>
      <c r="E5" s="27"/>
      <c r="F5" s="27"/>
      <c r="G5" s="27"/>
      <c r="H5" s="27"/>
      <c r="I5" s="27"/>
      <c r="J5" s="27"/>
      <c r="K5" s="27"/>
      <c r="L5" s="27"/>
      <c r="M5" s="27"/>
      <c r="N5" s="27"/>
      <c r="O5" s="27"/>
      <c r="P5" s="27"/>
      <c r="Q5" s="31"/>
      <c r="S5" s="1" t="s">
        <v>1090</v>
      </c>
    </row>
    <row r="6" spans="1:26" x14ac:dyDescent="0.25">
      <c r="A6" s="27" t="s">
        <v>1018</v>
      </c>
      <c r="B6" s="52"/>
      <c r="C6" s="52"/>
      <c r="D6" s="52"/>
      <c r="E6" s="52"/>
      <c r="F6" s="52"/>
      <c r="G6" s="52"/>
      <c r="H6" s="52"/>
      <c r="I6" s="52"/>
      <c r="J6" s="52"/>
      <c r="K6" s="52"/>
      <c r="L6" s="52"/>
      <c r="M6" s="52"/>
      <c r="N6" s="52"/>
      <c r="O6" s="27"/>
      <c r="P6" s="352"/>
      <c r="Q6" s="31"/>
      <c r="S6" s="359"/>
    </row>
    <row r="7" spans="1:26" x14ac:dyDescent="0.25">
      <c r="A7" s="27" t="s">
        <v>1223</v>
      </c>
      <c r="B7" s="52"/>
      <c r="C7" s="52"/>
      <c r="D7" s="52"/>
      <c r="E7" s="52"/>
      <c r="F7" s="52"/>
      <c r="G7" s="52"/>
      <c r="H7" s="52"/>
      <c r="I7" s="52"/>
      <c r="J7" s="52"/>
      <c r="K7" s="52"/>
      <c r="L7" s="52"/>
      <c r="M7" s="52"/>
      <c r="N7" s="52"/>
      <c r="O7" s="27"/>
      <c r="P7" s="352"/>
      <c r="Q7" s="31"/>
      <c r="S7" t="s">
        <v>1091</v>
      </c>
      <c r="U7" s="355">
        <f>E30 - AVERAGE(B24:B25) -E32 + E33 + E34</f>
        <v>4.7499999999999981E-3</v>
      </c>
    </row>
    <row r="8" spans="1:26" x14ac:dyDescent="0.25">
      <c r="A8" s="27" t="s">
        <v>1222</v>
      </c>
      <c r="B8" s="52"/>
      <c r="C8" s="52"/>
      <c r="D8" s="52"/>
      <c r="E8" s="52"/>
      <c r="F8" s="52"/>
      <c r="G8" s="52"/>
      <c r="H8" s="52"/>
      <c r="I8" s="52"/>
      <c r="J8" s="52"/>
      <c r="K8" s="52"/>
      <c r="L8" s="52"/>
      <c r="M8" s="52"/>
      <c r="N8" s="52"/>
      <c r="O8" s="52"/>
      <c r="P8" s="52"/>
      <c r="Q8" s="31"/>
    </row>
    <row r="9" spans="1:26" x14ac:dyDescent="0.25">
      <c r="A9" s="27"/>
      <c r="B9" s="27"/>
      <c r="C9" s="27"/>
      <c r="D9" s="27"/>
      <c r="E9" s="27"/>
      <c r="F9" s="27"/>
      <c r="G9" s="27"/>
      <c r="H9" s="27"/>
      <c r="I9" s="27"/>
      <c r="J9" s="27"/>
      <c r="K9" s="27"/>
      <c r="L9" s="27"/>
      <c r="M9" s="27"/>
      <c r="N9" s="27"/>
      <c r="O9" s="27"/>
      <c r="P9" s="52"/>
      <c r="Q9" s="31"/>
      <c r="S9" s="1" t="s">
        <v>1092</v>
      </c>
    </row>
    <row r="10" spans="1:26" x14ac:dyDescent="0.25">
      <c r="A10" s="36" t="s">
        <v>1019</v>
      </c>
      <c r="B10" s="27"/>
      <c r="C10" s="27"/>
      <c r="D10" s="27"/>
      <c r="E10" s="27"/>
      <c r="F10" s="27"/>
      <c r="G10" s="27"/>
      <c r="H10" s="27"/>
      <c r="I10" s="27"/>
      <c r="J10" s="27"/>
      <c r="K10" s="27"/>
      <c r="L10" s="27"/>
      <c r="M10" s="27"/>
      <c r="N10" s="27"/>
      <c r="O10" s="27"/>
      <c r="P10" s="52"/>
      <c r="Q10" s="31"/>
    </row>
    <row r="11" spans="1:26" ht="27.75" customHeight="1" x14ac:dyDescent="0.25">
      <c r="A11" s="36"/>
      <c r="B11" s="27"/>
      <c r="C11" s="27"/>
      <c r="D11" s="27"/>
      <c r="E11" s="27"/>
      <c r="F11" s="27"/>
      <c r="G11" s="27"/>
      <c r="H11" s="27"/>
      <c r="I11" s="27"/>
      <c r="J11" s="27"/>
      <c r="K11" s="27"/>
      <c r="L11" s="27"/>
      <c r="M11" s="27"/>
      <c r="N11" s="27"/>
      <c r="O11" s="27"/>
      <c r="P11" s="52"/>
      <c r="Q11" s="31"/>
      <c r="S11" s="360" t="s">
        <v>914</v>
      </c>
      <c r="T11" s="360" t="s">
        <v>967</v>
      </c>
      <c r="U11" s="360" t="s">
        <v>1091</v>
      </c>
      <c r="V11" s="360" t="s">
        <v>1093</v>
      </c>
    </row>
    <row r="12" spans="1:26" x14ac:dyDescent="0.25">
      <c r="A12" s="36" t="s">
        <v>1020</v>
      </c>
      <c r="B12" s="27"/>
      <c r="C12" s="27"/>
      <c r="D12" s="27"/>
      <c r="E12" s="27"/>
      <c r="F12" s="27"/>
      <c r="G12" s="27"/>
      <c r="H12" s="27"/>
      <c r="I12" s="27"/>
      <c r="J12" s="27"/>
      <c r="K12" s="27"/>
      <c r="L12" s="27"/>
      <c r="M12" s="27"/>
      <c r="N12" s="27"/>
      <c r="O12" s="27"/>
      <c r="P12" s="52"/>
      <c r="Q12" s="31"/>
      <c r="S12" s="361">
        <v>1</v>
      </c>
      <c r="T12" s="362">
        <v>2.8000000000000001E-2</v>
      </c>
      <c r="U12" s="362">
        <f>$U$7</f>
        <v>4.7499999999999981E-3</v>
      </c>
      <c r="V12" s="362">
        <f>T12 + U12</f>
        <v>3.2750000000000001E-2</v>
      </c>
    </row>
    <row r="13" spans="1:26" x14ac:dyDescent="0.25">
      <c r="A13" s="36" t="s">
        <v>1234</v>
      </c>
      <c r="B13" s="27"/>
      <c r="C13" s="27"/>
      <c r="D13" s="27"/>
      <c r="E13" s="27"/>
      <c r="F13" s="27"/>
      <c r="G13" s="27"/>
      <c r="H13" s="27"/>
      <c r="I13" s="27"/>
      <c r="J13" s="27"/>
      <c r="K13" s="27"/>
      <c r="L13" s="27"/>
      <c r="M13" s="27"/>
      <c r="N13" s="27"/>
      <c r="O13" s="27"/>
      <c r="P13" s="52"/>
      <c r="Q13" s="31"/>
      <c r="S13" s="361">
        <v>2</v>
      </c>
      <c r="T13" s="362">
        <v>0.03</v>
      </c>
      <c r="U13" s="362">
        <f t="shared" ref="U13:U16" si="0">$U$7</f>
        <v>4.7499999999999981E-3</v>
      </c>
      <c r="V13" s="362">
        <f t="shared" ref="V13:V16" si="1">T13 + U13</f>
        <v>3.4749999999999996E-2</v>
      </c>
    </row>
    <row r="14" spans="1:26" x14ac:dyDescent="0.25">
      <c r="A14" s="36" t="s">
        <v>1021</v>
      </c>
      <c r="B14" s="27"/>
      <c r="C14" s="27"/>
      <c r="D14" s="27"/>
      <c r="E14" s="27"/>
      <c r="F14" s="27"/>
      <c r="G14" s="27"/>
      <c r="H14" s="27"/>
      <c r="I14" s="27"/>
      <c r="J14" s="27"/>
      <c r="K14" s="27"/>
      <c r="L14" s="27"/>
      <c r="M14" s="27"/>
      <c r="N14" s="27"/>
      <c r="O14" s="27"/>
      <c r="P14" s="52"/>
      <c r="Q14" s="31"/>
      <c r="S14" s="361">
        <v>3</v>
      </c>
      <c r="T14" s="362">
        <v>3.2000000000000001E-2</v>
      </c>
      <c r="U14" s="362">
        <f t="shared" si="0"/>
        <v>4.7499999999999981E-3</v>
      </c>
      <c r="V14" s="362">
        <f t="shared" si="1"/>
        <v>3.6749999999999998E-2</v>
      </c>
    </row>
    <row r="15" spans="1:26" x14ac:dyDescent="0.25">
      <c r="A15" s="36"/>
      <c r="B15" s="27"/>
      <c r="C15" s="27"/>
      <c r="D15" s="27"/>
      <c r="E15" s="27"/>
      <c r="F15" s="27"/>
      <c r="G15" s="27"/>
      <c r="H15" s="27"/>
      <c r="I15" s="27"/>
      <c r="J15" s="27"/>
      <c r="K15" s="27"/>
      <c r="L15" s="27"/>
      <c r="M15" s="27"/>
      <c r="N15" s="27"/>
      <c r="O15" s="27"/>
      <c r="P15" s="52"/>
      <c r="Q15" s="31"/>
      <c r="S15" s="361">
        <v>4</v>
      </c>
      <c r="T15" s="362">
        <v>3.3500000000000002E-2</v>
      </c>
      <c r="U15" s="362">
        <f t="shared" si="0"/>
        <v>4.7499999999999981E-3</v>
      </c>
      <c r="V15" s="362">
        <f t="shared" si="1"/>
        <v>3.8249999999999999E-2</v>
      </c>
    </row>
    <row r="16" spans="1:26" x14ac:dyDescent="0.25">
      <c r="A16" s="283" t="s">
        <v>1022</v>
      </c>
      <c r="B16" s="27"/>
      <c r="C16" s="27"/>
      <c r="D16" s="27"/>
      <c r="E16" s="27"/>
      <c r="F16" s="27"/>
      <c r="G16" s="27"/>
      <c r="H16" s="27"/>
      <c r="I16" s="27"/>
      <c r="J16" s="27"/>
      <c r="K16" s="27"/>
      <c r="L16" s="27"/>
      <c r="M16" s="27"/>
      <c r="N16" s="27"/>
      <c r="O16" s="27"/>
      <c r="P16" s="52"/>
      <c r="Q16" s="31"/>
      <c r="S16" s="361">
        <v>5</v>
      </c>
      <c r="T16" s="362">
        <v>3.5000000000000003E-2</v>
      </c>
      <c r="U16" s="362">
        <f t="shared" si="0"/>
        <v>4.7499999999999981E-3</v>
      </c>
      <c r="V16" s="362">
        <f t="shared" si="1"/>
        <v>3.9750000000000001E-2</v>
      </c>
    </row>
    <row r="17" spans="1:23" x14ac:dyDescent="0.25">
      <c r="A17" s="36"/>
      <c r="B17" s="27"/>
      <c r="C17" s="27"/>
      <c r="D17" s="27"/>
      <c r="E17" s="27"/>
      <c r="F17" s="27"/>
      <c r="G17" s="27"/>
      <c r="H17" s="27"/>
      <c r="I17" s="27"/>
      <c r="J17" s="27"/>
      <c r="K17" s="27"/>
      <c r="L17" s="27"/>
      <c r="M17" s="27"/>
      <c r="N17" s="27"/>
      <c r="O17" s="27"/>
      <c r="P17" s="52"/>
      <c r="Q17" s="31"/>
    </row>
    <row r="18" spans="1:23" x14ac:dyDescent="0.25">
      <c r="A18" s="36" t="s">
        <v>1023</v>
      </c>
      <c r="B18" s="27"/>
      <c r="C18" s="27"/>
      <c r="D18" s="27"/>
      <c r="E18" s="27"/>
      <c r="F18" s="27"/>
      <c r="G18" s="27"/>
      <c r="H18" s="27"/>
      <c r="I18" s="27"/>
      <c r="J18" s="27"/>
      <c r="K18" s="27"/>
      <c r="L18" s="27"/>
      <c r="M18" s="27"/>
      <c r="N18" s="27"/>
      <c r="O18" s="27"/>
      <c r="P18" s="52"/>
      <c r="Q18" s="31"/>
      <c r="S18" s="1" t="s">
        <v>1094</v>
      </c>
    </row>
    <row r="19" spans="1:23" x14ac:dyDescent="0.25">
      <c r="A19" s="36"/>
      <c r="B19" s="27"/>
      <c r="C19" s="27"/>
      <c r="D19" s="27"/>
      <c r="E19" s="27"/>
      <c r="F19" s="27"/>
      <c r="G19" s="27"/>
      <c r="H19" s="27"/>
      <c r="I19" s="27"/>
      <c r="J19" s="27"/>
      <c r="K19" s="27"/>
      <c r="L19" s="27"/>
      <c r="M19" s="27"/>
      <c r="N19" s="27"/>
      <c r="O19" s="27"/>
      <c r="P19" s="52"/>
      <c r="Q19" s="31"/>
      <c r="S19" s="359"/>
    </row>
    <row r="20" spans="1:23" x14ac:dyDescent="0.25">
      <c r="A20" s="36" t="s">
        <v>1224</v>
      </c>
      <c r="B20" s="27"/>
      <c r="C20" s="27"/>
      <c r="D20" s="27"/>
      <c r="E20" s="27"/>
      <c r="F20" s="27"/>
      <c r="G20" s="27"/>
      <c r="H20" s="27"/>
      <c r="I20" s="27"/>
      <c r="J20" s="27"/>
      <c r="K20" s="27"/>
      <c r="L20" s="27"/>
      <c r="M20" s="27"/>
      <c r="N20" s="27"/>
      <c r="O20" s="27"/>
      <c r="P20" s="52"/>
      <c r="Q20" s="31"/>
      <c r="S20" t="s">
        <v>1095</v>
      </c>
    </row>
    <row r="21" spans="1:23" x14ac:dyDescent="0.25">
      <c r="A21" s="36"/>
      <c r="B21" s="27"/>
      <c r="C21" s="27"/>
      <c r="D21" s="27"/>
      <c r="E21" s="27"/>
      <c r="F21" s="27"/>
      <c r="G21" s="27"/>
      <c r="H21" s="27"/>
      <c r="I21" s="27"/>
      <c r="J21" s="27"/>
      <c r="K21" s="27"/>
      <c r="L21" s="27"/>
      <c r="M21" s="27"/>
      <c r="N21" s="27"/>
      <c r="O21" s="27"/>
      <c r="P21" s="52"/>
      <c r="Q21" s="31"/>
      <c r="S21" t="s">
        <v>1096</v>
      </c>
    </row>
    <row r="22" spans="1:23" x14ac:dyDescent="0.25">
      <c r="A22" s="36" t="s">
        <v>1024</v>
      </c>
      <c r="B22" s="367">
        <v>2.8000000000000001E-2</v>
      </c>
      <c r="C22" s="27"/>
      <c r="D22" s="27"/>
      <c r="E22" s="27"/>
      <c r="F22" s="27"/>
      <c r="G22" s="27"/>
      <c r="H22" s="27"/>
      <c r="I22" s="27"/>
      <c r="J22" s="27"/>
      <c r="K22" s="27"/>
      <c r="L22" s="27"/>
      <c r="M22" s="27"/>
      <c r="N22" s="27"/>
      <c r="O22" s="27"/>
      <c r="P22" s="52"/>
      <c r="Q22" s="31"/>
      <c r="S22" t="s">
        <v>1097</v>
      </c>
    </row>
    <row r="23" spans="1:23" x14ac:dyDescent="0.25">
      <c r="A23" s="36" t="s">
        <v>1025</v>
      </c>
      <c r="B23" s="367">
        <v>0.03</v>
      </c>
      <c r="C23" s="27"/>
      <c r="D23" s="27"/>
      <c r="E23" s="27"/>
      <c r="F23" s="27"/>
      <c r="G23" s="27"/>
      <c r="H23" s="27"/>
      <c r="I23" s="27"/>
      <c r="J23" s="27"/>
      <c r="K23" s="27"/>
      <c r="L23" s="27"/>
      <c r="M23" s="27"/>
      <c r="N23" s="27"/>
      <c r="O23" s="27"/>
      <c r="P23" s="52"/>
      <c r="Q23" s="31"/>
    </row>
    <row r="24" spans="1:23" x14ac:dyDescent="0.25">
      <c r="A24" s="36" t="s">
        <v>1026</v>
      </c>
      <c r="B24" s="367">
        <v>3.2000000000000001E-2</v>
      </c>
      <c r="C24" s="27"/>
      <c r="D24" s="27"/>
      <c r="E24" s="27"/>
      <c r="F24" s="27"/>
      <c r="G24" s="27"/>
      <c r="H24" s="27"/>
      <c r="I24" s="27"/>
      <c r="J24" s="27"/>
      <c r="K24" s="27"/>
      <c r="L24" s="27"/>
      <c r="M24" s="27"/>
      <c r="N24" s="27"/>
      <c r="O24" s="27"/>
      <c r="P24" s="52"/>
      <c r="Q24" s="31"/>
      <c r="S24" s="1" t="s">
        <v>1098</v>
      </c>
    </row>
    <row r="25" spans="1:23" x14ac:dyDescent="0.25">
      <c r="A25" s="36" t="s">
        <v>1027</v>
      </c>
      <c r="B25" s="367">
        <v>3.3500000000000002E-2</v>
      </c>
      <c r="C25" s="27"/>
      <c r="D25" s="27"/>
      <c r="E25" s="27"/>
      <c r="F25" s="27"/>
      <c r="G25" s="27"/>
      <c r="H25" s="27"/>
      <c r="I25" s="27"/>
      <c r="J25" s="27"/>
      <c r="K25" s="27"/>
      <c r="L25" s="27"/>
      <c r="M25" s="27"/>
      <c r="N25" s="27"/>
      <c r="O25" s="27"/>
      <c r="P25" s="52"/>
      <c r="Q25" s="31"/>
    </row>
    <row r="26" spans="1:23" x14ac:dyDescent="0.25">
      <c r="A26" s="36" t="s">
        <v>1028</v>
      </c>
      <c r="B26" s="367">
        <v>3.5000000000000003E-2</v>
      </c>
      <c r="C26" s="27"/>
      <c r="D26" s="27"/>
      <c r="E26" s="27"/>
      <c r="F26" s="27"/>
      <c r="G26" s="27"/>
      <c r="H26" s="27"/>
      <c r="I26" s="27"/>
      <c r="J26" s="27"/>
      <c r="K26" s="27"/>
      <c r="L26" s="27"/>
      <c r="M26" s="27"/>
      <c r="N26" s="27"/>
      <c r="O26" s="27"/>
      <c r="P26" s="52"/>
      <c r="Q26" s="31"/>
      <c r="S26" s="1" t="s">
        <v>1099</v>
      </c>
    </row>
    <row r="27" spans="1:23" x14ac:dyDescent="0.25">
      <c r="A27" s="36"/>
      <c r="B27" s="27"/>
      <c r="C27" s="27"/>
      <c r="D27" s="27"/>
      <c r="E27" s="27"/>
      <c r="F27" s="27"/>
      <c r="G27" s="27"/>
      <c r="H27" s="27"/>
      <c r="I27" s="27"/>
      <c r="J27" s="27"/>
      <c r="K27" s="27"/>
      <c r="L27" s="27"/>
      <c r="M27" s="27"/>
      <c r="N27" s="27"/>
      <c r="O27" s="27"/>
      <c r="P27" s="52"/>
      <c r="Q27" s="31"/>
    </row>
    <row r="28" spans="1:23" x14ac:dyDescent="0.25">
      <c r="A28" s="36" t="s">
        <v>1225</v>
      </c>
      <c r="B28" s="27"/>
      <c r="C28" s="27"/>
      <c r="D28" s="27"/>
      <c r="E28" s="27"/>
      <c r="F28" s="27"/>
      <c r="G28" s="27"/>
      <c r="H28" s="27"/>
      <c r="I28" s="27"/>
      <c r="J28" s="27"/>
      <c r="K28" s="27"/>
      <c r="L28" s="27"/>
      <c r="M28" s="27"/>
      <c r="N28" s="27"/>
      <c r="O28" s="27"/>
      <c r="P28" s="52"/>
      <c r="Q28" s="31"/>
      <c r="S28" s="1" t="s">
        <v>1100</v>
      </c>
    </row>
    <row r="29" spans="1:23" x14ac:dyDescent="0.25">
      <c r="A29" s="36"/>
      <c r="B29" s="27"/>
      <c r="C29" s="27"/>
      <c r="D29" s="27"/>
      <c r="E29" s="367"/>
      <c r="F29" s="27"/>
      <c r="G29" s="27"/>
      <c r="H29" s="27"/>
      <c r="I29" s="27"/>
      <c r="J29" s="27"/>
      <c r="K29" s="27"/>
      <c r="L29" s="27"/>
      <c r="M29" s="27"/>
      <c r="N29" s="27"/>
      <c r="O29" s="27"/>
      <c r="P29" s="52"/>
      <c r="Q29" s="31"/>
      <c r="S29" s="359"/>
    </row>
    <row r="30" spans="1:23" x14ac:dyDescent="0.25">
      <c r="A30" s="36" t="s">
        <v>1029</v>
      </c>
      <c r="B30" s="27"/>
      <c r="C30" s="27"/>
      <c r="D30" s="27"/>
      <c r="E30" s="367">
        <v>4.7500000000000001E-2</v>
      </c>
      <c r="F30" s="27"/>
      <c r="G30" s="27"/>
      <c r="H30" s="27"/>
      <c r="I30" s="27"/>
      <c r="J30" s="27"/>
      <c r="K30" s="27"/>
      <c r="L30" s="27"/>
      <c r="M30" s="27"/>
      <c r="N30" s="27"/>
      <c r="O30" s="27"/>
      <c r="P30" s="52"/>
      <c r="Q30" s="31"/>
      <c r="S30" t="s">
        <v>1101</v>
      </c>
      <c r="W30">
        <v>18</v>
      </c>
    </row>
    <row r="31" spans="1:23" x14ac:dyDescent="0.25">
      <c r="A31" s="36" t="s">
        <v>1030</v>
      </c>
      <c r="B31" s="27"/>
      <c r="C31" s="27"/>
      <c r="D31" s="27"/>
      <c r="E31" s="379">
        <v>3.5</v>
      </c>
      <c r="F31" s="27"/>
      <c r="G31" s="27"/>
      <c r="H31" s="27"/>
      <c r="I31" s="27"/>
      <c r="J31" s="27"/>
      <c r="K31" s="27"/>
      <c r="L31" s="27"/>
      <c r="M31" s="27"/>
      <c r="N31" s="27"/>
      <c r="O31" s="27"/>
      <c r="P31" s="52"/>
      <c r="Q31" s="31"/>
      <c r="S31" t="s">
        <v>1102</v>
      </c>
      <c r="W31" s="102">
        <v>85000000</v>
      </c>
    </row>
    <row r="32" spans="1:23" x14ac:dyDescent="0.25">
      <c r="A32" s="36" t="s">
        <v>1031</v>
      </c>
      <c r="B32" s="27"/>
      <c r="C32" s="27"/>
      <c r="D32" s="27"/>
      <c r="E32" s="367">
        <v>1.6500000000000001E-2</v>
      </c>
      <c r="F32" s="27"/>
      <c r="G32" s="27"/>
      <c r="H32" s="27"/>
      <c r="I32" s="27"/>
      <c r="J32" s="27"/>
      <c r="K32" s="27"/>
      <c r="L32" s="27"/>
      <c r="M32" s="27"/>
      <c r="N32" s="27"/>
      <c r="O32" s="27"/>
      <c r="P32" s="52"/>
      <c r="Q32" s="31"/>
      <c r="S32" t="s">
        <v>1103</v>
      </c>
      <c r="W32" s="102">
        <f xml:space="preserve"> 1.5*W31</f>
        <v>127500000</v>
      </c>
    </row>
    <row r="33" spans="1:23" x14ac:dyDescent="0.25">
      <c r="A33" s="36" t="s">
        <v>1032</v>
      </c>
      <c r="B33" s="27"/>
      <c r="C33" s="27"/>
      <c r="D33" s="27"/>
      <c r="E33" s="367">
        <v>4.4999999999999997E-3</v>
      </c>
      <c r="F33" s="27"/>
      <c r="G33" s="27"/>
      <c r="H33" s="27"/>
      <c r="I33" s="27"/>
      <c r="J33" s="27"/>
      <c r="K33" s="27"/>
      <c r="L33" s="27"/>
      <c r="M33" s="27"/>
      <c r="N33" s="27"/>
      <c r="O33" s="27"/>
      <c r="P33" s="52"/>
      <c r="Q33" s="31"/>
      <c r="S33" t="s">
        <v>1104</v>
      </c>
      <c r="W33" s="102">
        <f>W32/18</f>
        <v>7083333.333333333</v>
      </c>
    </row>
    <row r="34" spans="1:23" x14ac:dyDescent="0.25">
      <c r="A34" s="36" t="s">
        <v>1033</v>
      </c>
      <c r="B34" s="27"/>
      <c r="C34" s="27"/>
      <c r="D34" s="27"/>
      <c r="E34" s="367">
        <v>2E-3</v>
      </c>
      <c r="F34" s="27"/>
      <c r="G34" s="27"/>
      <c r="H34" s="27"/>
      <c r="I34" s="27"/>
      <c r="J34" s="27"/>
      <c r="K34" s="27"/>
      <c r="L34" s="27"/>
      <c r="M34" s="27"/>
      <c r="N34" s="27"/>
      <c r="O34" s="27"/>
      <c r="P34" s="52"/>
      <c r="Q34" s="31"/>
      <c r="S34" t="s">
        <v>914</v>
      </c>
      <c r="V34">
        <v>1</v>
      </c>
      <c r="W34">
        <v>2</v>
      </c>
    </row>
    <row r="35" spans="1:23" x14ac:dyDescent="0.25">
      <c r="A35" s="36"/>
      <c r="B35" s="27"/>
      <c r="C35" s="27"/>
      <c r="D35" s="27"/>
      <c r="E35" s="27"/>
      <c r="F35" s="27"/>
      <c r="G35" s="27"/>
      <c r="H35" s="27"/>
      <c r="I35" s="27"/>
      <c r="J35" s="27"/>
      <c r="K35" s="27"/>
      <c r="L35" s="27"/>
      <c r="M35" s="27"/>
      <c r="N35" s="27"/>
      <c r="O35" s="27"/>
      <c r="P35" s="52"/>
      <c r="Q35" s="31"/>
      <c r="S35" t="s">
        <v>1105</v>
      </c>
      <c r="V35">
        <v>0.4</v>
      </c>
      <c r="W35">
        <v>0.6</v>
      </c>
    </row>
    <row r="36" spans="1:23" x14ac:dyDescent="0.25">
      <c r="A36" s="283" t="s">
        <v>1034</v>
      </c>
      <c r="B36" s="27"/>
      <c r="C36" s="27"/>
      <c r="D36" s="27"/>
      <c r="E36" s="27"/>
      <c r="F36" s="27"/>
      <c r="G36" s="27"/>
      <c r="H36" s="27"/>
      <c r="I36" s="27"/>
      <c r="J36" s="27"/>
      <c r="K36" s="27"/>
      <c r="L36" s="27"/>
      <c r="M36" s="27"/>
      <c r="N36" s="27"/>
      <c r="O36" s="27"/>
      <c r="P36" s="52"/>
      <c r="Q36" s="31"/>
      <c r="S36" t="s">
        <v>1106</v>
      </c>
      <c r="W36" s="371">
        <f>B54</f>
        <v>0.65</v>
      </c>
    </row>
    <row r="37" spans="1:23" x14ac:dyDescent="0.25">
      <c r="A37" s="36"/>
      <c r="B37" s="27"/>
      <c r="C37" s="27"/>
      <c r="D37" s="27"/>
      <c r="E37" s="27"/>
      <c r="F37" s="27"/>
      <c r="G37" s="27"/>
      <c r="H37" s="27"/>
      <c r="I37" s="27"/>
      <c r="J37" s="27"/>
      <c r="K37" s="27"/>
      <c r="L37" s="27"/>
      <c r="M37" s="27"/>
      <c r="N37" s="27"/>
      <c r="O37" s="27"/>
      <c r="P37" s="52"/>
      <c r="Q37" s="31"/>
      <c r="S37" t="s">
        <v>1107</v>
      </c>
      <c r="W37" s="102">
        <f>W31*0.12</f>
        <v>10200000</v>
      </c>
    </row>
    <row r="38" spans="1:23" ht="45" x14ac:dyDescent="0.25">
      <c r="A38" s="378" t="s">
        <v>1035</v>
      </c>
      <c r="B38" s="375" t="s">
        <v>1036</v>
      </c>
      <c r="C38" s="375" t="s">
        <v>1037</v>
      </c>
      <c r="D38" s="375" t="s">
        <v>1233</v>
      </c>
      <c r="E38" s="375" t="s">
        <v>1038</v>
      </c>
      <c r="F38" s="375" t="s">
        <v>1039</v>
      </c>
      <c r="G38" s="375" t="s">
        <v>1040</v>
      </c>
      <c r="H38" s="27"/>
      <c r="I38" s="27"/>
      <c r="J38" s="27"/>
      <c r="K38" s="27"/>
      <c r="L38" s="27"/>
      <c r="M38" s="27"/>
      <c r="N38" s="27"/>
      <c r="O38" s="27"/>
      <c r="P38" s="52"/>
      <c r="Q38" s="31"/>
      <c r="S38" t="s">
        <v>1108</v>
      </c>
    </row>
    <row r="39" spans="1:23" ht="30" x14ac:dyDescent="0.25">
      <c r="A39" s="36" t="s">
        <v>119</v>
      </c>
      <c r="B39" s="377" t="s">
        <v>1041</v>
      </c>
      <c r="C39" s="377" t="s">
        <v>1042</v>
      </c>
      <c r="D39" s="377">
        <v>85</v>
      </c>
      <c r="E39" s="377" t="s">
        <v>1043</v>
      </c>
      <c r="F39" s="377" t="s">
        <v>1044</v>
      </c>
      <c r="G39" s="377" t="s">
        <v>1045</v>
      </c>
      <c r="H39" s="27"/>
      <c r="I39" s="27"/>
      <c r="J39" s="27"/>
      <c r="K39" s="27"/>
      <c r="L39" s="27"/>
      <c r="M39" s="27"/>
      <c r="N39" s="27"/>
      <c r="O39" s="27"/>
      <c r="P39" s="52"/>
      <c r="Q39" s="31"/>
      <c r="S39" t="s">
        <v>1109</v>
      </c>
      <c r="W39" s="371">
        <v>0.35</v>
      </c>
    </row>
    <row r="40" spans="1:23" ht="30" x14ac:dyDescent="0.25">
      <c r="A40" s="36" t="s">
        <v>138</v>
      </c>
      <c r="B40" s="377" t="s">
        <v>1046</v>
      </c>
      <c r="C40" s="377" t="s">
        <v>1047</v>
      </c>
      <c r="D40" s="377">
        <v>120</v>
      </c>
      <c r="E40" s="377" t="s">
        <v>1048</v>
      </c>
      <c r="F40" s="377" t="s">
        <v>1049</v>
      </c>
      <c r="G40" s="377" t="s">
        <v>1050</v>
      </c>
      <c r="H40" s="27"/>
      <c r="I40" s="27"/>
      <c r="J40" s="27"/>
      <c r="K40" s="27"/>
      <c r="L40" s="27"/>
      <c r="M40" s="27"/>
      <c r="N40" s="27"/>
      <c r="O40" s="27"/>
      <c r="P40" s="52"/>
      <c r="Q40" s="31"/>
    </row>
    <row r="41" spans="1:23" ht="43.5" customHeight="1" x14ac:dyDescent="0.25">
      <c r="A41" s="36" t="s">
        <v>121</v>
      </c>
      <c r="B41" s="377" t="s">
        <v>1051</v>
      </c>
      <c r="C41" s="377" t="s">
        <v>1052</v>
      </c>
      <c r="D41" s="377">
        <v>45</v>
      </c>
      <c r="E41" s="377" t="s">
        <v>1053</v>
      </c>
      <c r="F41" s="377" t="s">
        <v>1054</v>
      </c>
      <c r="G41" s="377" t="s">
        <v>1055</v>
      </c>
      <c r="H41" s="27"/>
      <c r="I41" s="27"/>
      <c r="J41" s="27"/>
      <c r="K41" s="27"/>
      <c r="L41" s="27"/>
      <c r="M41" s="27"/>
      <c r="N41" s="27"/>
      <c r="O41" s="27"/>
      <c r="P41" s="52"/>
      <c r="Q41" s="31"/>
      <c r="S41" s="1" t="s">
        <v>1110</v>
      </c>
    </row>
    <row r="42" spans="1:23" ht="45" x14ac:dyDescent="0.25">
      <c r="A42" s="36" t="s">
        <v>249</v>
      </c>
      <c r="B42" s="377" t="s">
        <v>1056</v>
      </c>
      <c r="C42" s="377" t="s">
        <v>1057</v>
      </c>
      <c r="D42" s="377">
        <v>30</v>
      </c>
      <c r="E42" s="377" t="s">
        <v>1058</v>
      </c>
      <c r="F42" s="377" t="s">
        <v>1059</v>
      </c>
      <c r="G42" s="377" t="s">
        <v>1060</v>
      </c>
      <c r="H42" s="27"/>
      <c r="I42" s="27"/>
      <c r="J42" s="27"/>
      <c r="K42" s="27"/>
      <c r="L42" s="27"/>
      <c r="M42" s="27"/>
      <c r="N42" s="27"/>
      <c r="O42" s="27"/>
      <c r="P42" s="52"/>
      <c r="Q42" s="31"/>
    </row>
    <row r="43" spans="1:23" x14ac:dyDescent="0.25">
      <c r="A43" s="36"/>
      <c r="B43" s="27"/>
      <c r="C43" s="27"/>
      <c r="D43" s="27"/>
      <c r="E43" s="27"/>
      <c r="F43" s="27"/>
      <c r="G43" s="27"/>
      <c r="H43" s="27"/>
      <c r="I43" s="27"/>
      <c r="J43" s="27"/>
      <c r="K43" s="27"/>
      <c r="L43" s="27"/>
      <c r="M43" s="27"/>
      <c r="N43" s="27"/>
      <c r="O43" s="27"/>
      <c r="P43" s="52"/>
      <c r="Q43" s="31"/>
      <c r="S43" s="1" t="s">
        <v>1111</v>
      </c>
    </row>
    <row r="44" spans="1:23" x14ac:dyDescent="0.25">
      <c r="A44" s="36"/>
      <c r="B44" s="27"/>
      <c r="C44" s="27"/>
      <c r="D44" s="27"/>
      <c r="E44" s="27"/>
      <c r="F44" s="27"/>
      <c r="G44" s="27"/>
      <c r="H44" s="27"/>
      <c r="I44" s="27"/>
      <c r="J44" s="27"/>
      <c r="K44" s="27"/>
      <c r="L44" s="27"/>
      <c r="M44" s="27"/>
      <c r="N44" s="27"/>
      <c r="O44" s="27"/>
      <c r="P44" s="52"/>
      <c r="Q44" s="31"/>
      <c r="S44" s="359"/>
    </row>
    <row r="45" spans="1:23" x14ac:dyDescent="0.25">
      <c r="A45" s="283" t="s">
        <v>1061</v>
      </c>
      <c r="B45" s="27"/>
      <c r="C45" s="27"/>
      <c r="D45" s="27"/>
      <c r="E45" s="27"/>
      <c r="F45" s="27"/>
      <c r="G45" s="27"/>
      <c r="H45" s="27"/>
      <c r="I45" s="27"/>
      <c r="J45" s="27"/>
      <c r="K45" s="27"/>
      <c r="L45" s="27"/>
      <c r="M45" s="27"/>
      <c r="N45" s="27"/>
      <c r="O45" s="27"/>
      <c r="P45" s="52"/>
      <c r="Q45" s="31"/>
      <c r="S45" t="s">
        <v>1112</v>
      </c>
      <c r="U45" s="102">
        <f>W36*W32</f>
        <v>82875000</v>
      </c>
    </row>
    <row r="46" spans="1:23" x14ac:dyDescent="0.25">
      <c r="A46" s="36"/>
      <c r="B46" s="27"/>
      <c r="C46" s="27"/>
      <c r="D46" s="27"/>
      <c r="E46" s="27"/>
      <c r="F46" s="27"/>
      <c r="G46" s="27"/>
      <c r="H46" s="27"/>
      <c r="I46" s="27"/>
      <c r="J46" s="27"/>
      <c r="K46" s="27"/>
      <c r="L46" s="27"/>
      <c r="M46" s="27"/>
      <c r="N46" s="27"/>
      <c r="O46" s="27"/>
      <c r="P46" s="52"/>
      <c r="Q46" s="31"/>
      <c r="S46" t="s">
        <v>1113</v>
      </c>
      <c r="U46" s="102">
        <f>W39*U45</f>
        <v>29006250</v>
      </c>
    </row>
    <row r="47" spans="1:23" x14ac:dyDescent="0.25">
      <c r="A47" s="283" t="s">
        <v>1062</v>
      </c>
      <c r="B47" s="27"/>
      <c r="C47" s="27"/>
      <c r="D47" s="27"/>
      <c r="E47" s="27"/>
      <c r="F47" s="27"/>
      <c r="G47" s="27"/>
      <c r="H47" s="27"/>
      <c r="I47" s="27"/>
      <c r="J47" s="27"/>
      <c r="K47" s="27"/>
      <c r="L47" s="27"/>
      <c r="M47" s="27"/>
      <c r="N47" s="27"/>
      <c r="O47" s="27"/>
      <c r="P47" s="52"/>
      <c r="Q47" s="31"/>
      <c r="S47" t="s">
        <v>1114</v>
      </c>
      <c r="U47" s="102">
        <f>U45 + 1.645*U46</f>
        <v>130590281.25</v>
      </c>
    </row>
    <row r="48" spans="1:23" x14ac:dyDescent="0.25">
      <c r="A48" s="36"/>
      <c r="B48" s="27"/>
      <c r="C48" s="27"/>
      <c r="D48" s="27"/>
      <c r="E48" s="27"/>
      <c r="F48" s="27"/>
      <c r="G48" s="27"/>
      <c r="H48" s="27"/>
      <c r="I48" s="27"/>
      <c r="J48" s="27"/>
      <c r="K48" s="27"/>
      <c r="L48" s="27"/>
      <c r="M48" s="27"/>
      <c r="N48" s="27"/>
      <c r="O48" s="27"/>
      <c r="P48" s="52"/>
      <c r="Q48" s="31"/>
      <c r="S48" t="s">
        <v>1115</v>
      </c>
      <c r="U48" s="102">
        <f>U47-U45</f>
        <v>47715281.25</v>
      </c>
    </row>
    <row r="49" spans="1:39" x14ac:dyDescent="0.25">
      <c r="A49" s="36" t="s">
        <v>1063</v>
      </c>
      <c r="B49" s="27"/>
      <c r="C49" s="27"/>
      <c r="D49" s="27"/>
      <c r="E49" s="27"/>
      <c r="F49" s="27"/>
      <c r="G49" s="27"/>
      <c r="H49" s="27"/>
      <c r="I49" s="27"/>
      <c r="J49" s="27"/>
      <c r="K49" s="27"/>
      <c r="L49" s="27"/>
      <c r="M49" s="27"/>
      <c r="N49" s="27"/>
      <c r="O49" s="27"/>
      <c r="P49" s="52"/>
      <c r="Q49" s="31"/>
    </row>
    <row r="50" spans="1:39" x14ac:dyDescent="0.25">
      <c r="A50" s="36" t="s">
        <v>1064</v>
      </c>
      <c r="B50" s="27"/>
      <c r="C50" s="27"/>
      <c r="D50" s="27"/>
      <c r="E50" s="27"/>
      <c r="F50" s="27"/>
      <c r="G50" s="27"/>
      <c r="H50" s="27"/>
      <c r="I50" s="27"/>
      <c r="J50" s="27"/>
      <c r="K50" s="27"/>
      <c r="L50" s="27"/>
      <c r="M50" s="27"/>
      <c r="N50" s="27"/>
      <c r="O50" s="27"/>
      <c r="P50" s="52"/>
      <c r="Q50" s="31"/>
      <c r="S50" s="1" t="s">
        <v>1116</v>
      </c>
    </row>
    <row r="51" spans="1:39" x14ac:dyDescent="0.25">
      <c r="A51" s="36"/>
      <c r="B51" s="27"/>
      <c r="C51" s="27"/>
      <c r="D51" s="27"/>
      <c r="E51" s="27"/>
      <c r="F51" s="27"/>
      <c r="G51" s="27"/>
      <c r="H51" s="27"/>
      <c r="I51" s="27"/>
      <c r="J51" s="27"/>
      <c r="K51" s="27"/>
      <c r="L51" s="27"/>
      <c r="M51" s="27"/>
      <c r="N51" s="27"/>
      <c r="O51" s="27"/>
      <c r="P51" s="52"/>
      <c r="Q51" s="31"/>
      <c r="S51" s="359"/>
    </row>
    <row r="52" spans="1:39" x14ac:dyDescent="0.25">
      <c r="A52" s="283" t="s">
        <v>1065</v>
      </c>
      <c r="B52" s="27"/>
      <c r="C52" s="27"/>
      <c r="D52" s="27"/>
      <c r="E52" s="27"/>
      <c r="F52" s="27"/>
      <c r="G52" s="27"/>
      <c r="H52" s="27"/>
      <c r="I52" s="27"/>
      <c r="J52" s="27"/>
      <c r="K52" s="27"/>
      <c r="L52" s="27"/>
      <c r="M52" s="27"/>
      <c r="N52" s="27"/>
      <c r="O52" s="27"/>
      <c r="P52" s="52"/>
      <c r="Q52" s="31"/>
      <c r="S52" t="s">
        <v>1117</v>
      </c>
      <c r="U52">
        <f xml:space="preserve"> 0.06/(1-0.25)</f>
        <v>0.08</v>
      </c>
    </row>
    <row r="53" spans="1:39" x14ac:dyDescent="0.25">
      <c r="A53" s="36"/>
      <c r="B53" s="27"/>
      <c r="C53" s="27"/>
      <c r="D53" s="27"/>
      <c r="E53" s="27"/>
      <c r="F53" s="27"/>
      <c r="G53" s="27"/>
      <c r="H53" s="27"/>
      <c r="I53" s="27"/>
      <c r="J53" s="27"/>
      <c r="K53" s="27"/>
      <c r="L53" s="27"/>
      <c r="M53" s="27"/>
      <c r="N53" s="27"/>
      <c r="O53" s="27"/>
      <c r="P53" s="52"/>
      <c r="Q53" s="31"/>
    </row>
    <row r="54" spans="1:39" x14ac:dyDescent="0.25">
      <c r="A54" s="36" t="s">
        <v>1066</v>
      </c>
      <c r="B54" s="27">
        <v>0.65</v>
      </c>
      <c r="C54" s="27"/>
      <c r="D54" s="27"/>
      <c r="E54" s="27"/>
      <c r="F54" s="27"/>
      <c r="G54" s="27"/>
      <c r="H54" s="27"/>
      <c r="I54" s="27"/>
      <c r="J54" s="27"/>
      <c r="K54" s="27"/>
      <c r="L54" s="27"/>
      <c r="M54" s="27"/>
      <c r="N54" s="27"/>
      <c r="O54" s="27"/>
      <c r="P54" s="52"/>
      <c r="Q54" s="31"/>
      <c r="S54" s="1" t="s">
        <v>1008</v>
      </c>
    </row>
    <row r="55" spans="1:39" x14ac:dyDescent="0.25">
      <c r="A55" s="36" t="s">
        <v>1067</v>
      </c>
      <c r="B55" s="27">
        <v>0.72</v>
      </c>
      <c r="C55" s="27"/>
      <c r="D55" s="27"/>
      <c r="E55" s="27"/>
      <c r="F55" s="27"/>
      <c r="G55" s="27"/>
      <c r="H55" s="27"/>
      <c r="I55" s="27"/>
      <c r="J55" s="27"/>
      <c r="K55" s="27"/>
      <c r="L55" s="27"/>
      <c r="M55" s="27"/>
      <c r="N55" s="27"/>
      <c r="O55" s="27"/>
      <c r="P55" s="52"/>
      <c r="Q55" s="31"/>
      <c r="S55" s="359"/>
    </row>
    <row r="56" spans="1:39" x14ac:dyDescent="0.25">
      <c r="A56" s="36" t="s">
        <v>1068</v>
      </c>
      <c r="B56" s="27">
        <v>0.57999999999999996</v>
      </c>
      <c r="C56" s="27"/>
      <c r="D56" s="27"/>
      <c r="E56" s="27"/>
      <c r="F56" s="27"/>
      <c r="G56" s="27"/>
      <c r="H56" s="27"/>
      <c r="I56" s="27"/>
      <c r="J56" s="27"/>
      <c r="K56" s="27"/>
      <c r="L56" s="27"/>
      <c r="M56" s="27"/>
      <c r="N56" s="27"/>
      <c r="O56" s="27"/>
      <c r="P56" s="52"/>
      <c r="Q56" s="31"/>
      <c r="S56" t="s">
        <v>1383</v>
      </c>
      <c r="T56">
        <v>0</v>
      </c>
      <c r="U56">
        <v>1</v>
      </c>
      <c r="V56">
        <v>2</v>
      </c>
      <c r="W56">
        <v>3</v>
      </c>
      <c r="X56">
        <v>4</v>
      </c>
      <c r="Y56">
        <v>5</v>
      </c>
      <c r="Z56">
        <v>6</v>
      </c>
      <c r="AA56">
        <v>7</v>
      </c>
      <c r="AB56" s="359">
        <v>8</v>
      </c>
      <c r="AC56">
        <v>9</v>
      </c>
      <c r="AD56">
        <v>10</v>
      </c>
      <c r="AE56">
        <v>11</v>
      </c>
      <c r="AF56">
        <v>12</v>
      </c>
      <c r="AG56">
        <v>13</v>
      </c>
      <c r="AH56">
        <v>14</v>
      </c>
      <c r="AI56">
        <v>15</v>
      </c>
      <c r="AJ56">
        <v>16</v>
      </c>
      <c r="AK56">
        <v>17</v>
      </c>
      <c r="AL56">
        <v>18</v>
      </c>
      <c r="AM56" t="s">
        <v>1118</v>
      </c>
    </row>
    <row r="57" spans="1:39" x14ac:dyDescent="0.25">
      <c r="A57" s="36" t="s">
        <v>1069</v>
      </c>
      <c r="B57" s="27">
        <v>0.55000000000000004</v>
      </c>
      <c r="C57" s="27"/>
      <c r="D57" s="27"/>
      <c r="E57" s="27"/>
      <c r="F57" s="27"/>
      <c r="G57" s="27"/>
      <c r="H57" s="27"/>
      <c r="I57" s="27"/>
      <c r="J57" s="27"/>
      <c r="K57" s="27"/>
      <c r="L57" s="27"/>
      <c r="M57" s="27"/>
      <c r="N57" s="27"/>
      <c r="O57" s="27"/>
      <c r="P57" s="52"/>
      <c r="Q57" s="31"/>
      <c r="S57" t="s">
        <v>1119</v>
      </c>
      <c r="T57" s="102">
        <f t="shared" ref="T57:AF57" si="2">($U$48*($U$52/12)*(18 - T56)/18)/((1 + $V$12)^(T56/12))</f>
        <v>318101.875</v>
      </c>
      <c r="U57" s="102">
        <f>($U$48*($U$52/12)*(18 - U56)/18)/((1 + $V$12)^(U56/12))</f>
        <v>299623.84871557343</v>
      </c>
      <c r="V57" s="102">
        <f t="shared" si="2"/>
        <v>281242.64429862396</v>
      </c>
      <c r="W57" s="102">
        <f t="shared" si="2"/>
        <v>262957.87532779924</v>
      </c>
      <c r="X57" s="102">
        <f t="shared" si="2"/>
        <v>244769.1567580151</v>
      </c>
      <c r="Y57" s="102">
        <f t="shared" si="2"/>
        <v>226676.10491585342</v>
      </c>
      <c r="Z57" s="102">
        <f t="shared" si="2"/>
        <v>208678.33749497385</v>
      </c>
      <c r="AA57" s="102">
        <f t="shared" si="2"/>
        <v>190775.4735515411</v>
      </c>
      <c r="AB57" s="102">
        <f t="shared" si="2"/>
        <v>172967.13349966638</v>
      </c>
      <c r="AC57" s="102">
        <f t="shared" si="2"/>
        <v>155252.93910686372</v>
      </c>
      <c r="AD57" s="102">
        <f t="shared" si="2"/>
        <v>137632.51348952079</v>
      </c>
      <c r="AE57" s="102">
        <f t="shared" si="2"/>
        <v>120105.48110838435</v>
      </c>
      <c r="AF57" s="102">
        <f t="shared" si="2"/>
        <v>102671.46776406035</v>
      </c>
      <c r="AG57" s="102">
        <f t="shared" ref="AG57:AL57" si="3">($U$48*($U$52/12)*(18 - AG56)/18)/((1 + $V$13)^(AG56/12))</f>
        <v>85151.441992480701</v>
      </c>
      <c r="AH57" s="102">
        <f t="shared" si="3"/>
        <v>67927.511965071943</v>
      </c>
      <c r="AI57" s="102">
        <f t="shared" si="3"/>
        <v>50800.815587323414</v>
      </c>
      <c r="AJ57" s="102">
        <f t="shared" si="3"/>
        <v>33770.939241679211</v>
      </c>
      <c r="AK57" s="102">
        <f t="shared" si="3"/>
        <v>16837.470876399333</v>
      </c>
      <c r="AL57" s="102">
        <f t="shared" si="3"/>
        <v>0</v>
      </c>
      <c r="AM57" s="102">
        <f xml:space="preserve"> SUM(T57:AL57)</f>
        <v>2975943.0306938305</v>
      </c>
    </row>
    <row r="58" spans="1:39" x14ac:dyDescent="0.25">
      <c r="A58" s="36"/>
      <c r="B58" s="27"/>
      <c r="C58" s="27"/>
      <c r="D58" s="27"/>
      <c r="E58" s="27"/>
      <c r="F58" s="27"/>
      <c r="G58" s="27"/>
      <c r="H58" s="27"/>
      <c r="I58" s="27"/>
      <c r="J58" s="27"/>
      <c r="K58" s="27"/>
      <c r="L58" s="27"/>
      <c r="M58" s="27"/>
      <c r="N58" s="27"/>
      <c r="O58" s="27"/>
      <c r="P58" s="52"/>
      <c r="Q58" s="31"/>
      <c r="S58" t="s">
        <v>1384</v>
      </c>
    </row>
    <row r="59" spans="1:39" x14ac:dyDescent="0.25">
      <c r="A59" s="283" t="s">
        <v>1070</v>
      </c>
      <c r="B59" s="27"/>
      <c r="C59" s="27"/>
      <c r="D59" s="27"/>
      <c r="E59" s="27"/>
      <c r="F59" s="27"/>
      <c r="G59" s="27"/>
      <c r="H59" s="27"/>
      <c r="I59" s="27"/>
      <c r="J59" s="27"/>
      <c r="K59" s="27"/>
      <c r="L59" s="27"/>
      <c r="M59" s="27"/>
      <c r="N59" s="27"/>
      <c r="O59" s="27"/>
      <c r="P59" s="52"/>
      <c r="Q59" s="31"/>
      <c r="S59" t="s">
        <v>1385</v>
      </c>
    </row>
    <row r="60" spans="1:39" x14ac:dyDescent="0.25">
      <c r="A60" s="36"/>
      <c r="B60" s="27"/>
      <c r="C60" s="27"/>
      <c r="D60" s="27"/>
      <c r="E60" s="27"/>
      <c r="F60" s="27"/>
      <c r="G60" s="27"/>
      <c r="H60" s="27"/>
      <c r="I60" s="27"/>
      <c r="J60" s="27"/>
      <c r="K60" s="27"/>
      <c r="L60" s="27"/>
      <c r="M60" s="27"/>
      <c r="N60" s="27"/>
      <c r="O60" s="27"/>
      <c r="P60" s="52"/>
      <c r="Q60" s="31"/>
      <c r="S60" t="s">
        <v>1386</v>
      </c>
      <c r="W60" s="1"/>
      <c r="AB60" s="359"/>
    </row>
    <row r="61" spans="1:39" x14ac:dyDescent="0.25">
      <c r="A61" s="36" t="s">
        <v>1231</v>
      </c>
      <c r="B61" s="27"/>
      <c r="C61" s="27"/>
      <c r="D61" s="27"/>
      <c r="E61" s="27"/>
      <c r="F61" s="27"/>
      <c r="G61" s="27"/>
      <c r="H61" s="27"/>
      <c r="I61" s="27"/>
      <c r="J61" s="27"/>
      <c r="K61" s="27"/>
      <c r="L61" s="27"/>
      <c r="M61" s="27"/>
      <c r="N61" s="27"/>
      <c r="O61" s="27"/>
      <c r="P61" s="52"/>
      <c r="Q61" s="31"/>
      <c r="AB61" s="359"/>
    </row>
    <row r="62" spans="1:39" x14ac:dyDescent="0.25">
      <c r="A62" s="36"/>
      <c r="B62" s="27"/>
      <c r="C62" s="27"/>
      <c r="D62" s="27"/>
      <c r="E62" s="27"/>
      <c r="F62" s="27"/>
      <c r="G62" s="27"/>
      <c r="H62" s="27"/>
      <c r="I62" s="27"/>
      <c r="J62" s="27"/>
      <c r="K62" s="27"/>
      <c r="L62" s="27"/>
      <c r="M62" s="27"/>
      <c r="N62" s="27"/>
      <c r="O62" s="27"/>
      <c r="P62" s="52"/>
      <c r="Q62" s="31"/>
      <c r="S62" s="1" t="s">
        <v>1120</v>
      </c>
    </row>
    <row r="63" spans="1:39" x14ac:dyDescent="0.25">
      <c r="A63" s="283" t="s">
        <v>1071</v>
      </c>
      <c r="B63" s="27"/>
      <c r="C63" s="27"/>
      <c r="D63" s="27"/>
      <c r="E63" s="27"/>
      <c r="F63" s="27"/>
      <c r="G63" s="27"/>
      <c r="H63" s="27"/>
      <c r="I63" s="27"/>
      <c r="J63" s="27"/>
      <c r="K63" s="27"/>
      <c r="L63" s="27"/>
      <c r="M63" s="27"/>
      <c r="N63" s="27"/>
      <c r="O63" s="27"/>
      <c r="P63" s="52"/>
      <c r="Q63" s="31"/>
    </row>
    <row r="64" spans="1:39" x14ac:dyDescent="0.25">
      <c r="A64" s="36"/>
      <c r="B64" s="27"/>
      <c r="C64" s="27"/>
      <c r="D64" s="27"/>
      <c r="E64" s="27"/>
      <c r="F64" s="27"/>
      <c r="G64" s="27"/>
      <c r="H64" s="27"/>
      <c r="I64" s="27"/>
      <c r="J64" s="27"/>
      <c r="K64" s="27"/>
      <c r="L64" s="27"/>
      <c r="M64" s="27"/>
      <c r="N64" s="27"/>
      <c r="O64" s="27"/>
      <c r="P64" s="52"/>
      <c r="Q64" s="31"/>
      <c r="S64" t="s">
        <v>1121</v>
      </c>
      <c r="T64" t="s">
        <v>1122</v>
      </c>
      <c r="U64" t="s">
        <v>1123</v>
      </c>
      <c r="V64" t="s">
        <v>1124</v>
      </c>
      <c r="W64" t="s">
        <v>1125</v>
      </c>
    </row>
    <row r="65" spans="1:23" x14ac:dyDescent="0.25">
      <c r="A65" s="36" t="s">
        <v>1381</v>
      </c>
      <c r="B65" s="27"/>
      <c r="C65" s="27"/>
      <c r="D65" s="27"/>
      <c r="E65" s="27"/>
      <c r="F65" s="27"/>
      <c r="G65" s="27"/>
      <c r="H65" s="27"/>
      <c r="I65" s="27"/>
      <c r="J65" s="27"/>
      <c r="K65" s="27"/>
      <c r="L65" s="27"/>
      <c r="M65" s="27"/>
      <c r="N65" s="27"/>
      <c r="O65" s="27"/>
      <c r="P65" s="52"/>
      <c r="Q65" s="31"/>
      <c r="S65">
        <v>1</v>
      </c>
      <c r="T65" s="102">
        <f>$W$33</f>
        <v>7083333.333333333</v>
      </c>
      <c r="U65" s="102">
        <f>T65</f>
        <v>7083333.333333333</v>
      </c>
      <c r="V65" s="102">
        <f>T65*0.02</f>
        <v>141666.66666666666</v>
      </c>
      <c r="W65" s="102">
        <f>V65/(1+ $V$12)^(S65/12)</f>
        <v>141286.74125965466</v>
      </c>
    </row>
    <row r="66" spans="1:23" x14ac:dyDescent="0.25">
      <c r="A66" s="36" t="s">
        <v>1072</v>
      </c>
      <c r="B66" s="27"/>
      <c r="C66" s="27"/>
      <c r="D66" s="27"/>
      <c r="E66" s="27"/>
      <c r="F66" s="27"/>
      <c r="G66" s="27"/>
      <c r="H66" s="27"/>
      <c r="I66" s="27"/>
      <c r="J66" s="27"/>
      <c r="K66" s="27"/>
      <c r="L66" s="27"/>
      <c r="M66" s="27"/>
      <c r="N66" s="27"/>
      <c r="O66" s="27"/>
      <c r="P66" s="52"/>
      <c r="Q66" s="31"/>
      <c r="S66">
        <v>2</v>
      </c>
      <c r="T66" s="102">
        <f t="shared" ref="T66:T82" si="4">$W$33</f>
        <v>7083333.333333333</v>
      </c>
      <c r="U66" s="102">
        <f>T66/(1+$V$12)^(S65/12)</f>
        <v>7064337.0629827324</v>
      </c>
      <c r="V66" s="102">
        <f t="shared" ref="V66:V82" si="5">T66*0.02</f>
        <v>141666.66666666666</v>
      </c>
      <c r="W66" s="102">
        <f t="shared" ref="W66:W76" si="6">V66/(1+ $V$12)^(S66/12)</f>
        <v>140907.83474663011</v>
      </c>
    </row>
    <row r="67" spans="1:23" x14ac:dyDescent="0.25">
      <c r="A67" s="36" t="s">
        <v>1073</v>
      </c>
      <c r="B67" s="27"/>
      <c r="C67" s="27"/>
      <c r="D67" s="27"/>
      <c r="E67" s="27"/>
      <c r="F67" s="27"/>
      <c r="G67" s="27"/>
      <c r="H67" s="27"/>
      <c r="I67" s="27"/>
      <c r="J67" s="27"/>
      <c r="K67" s="27"/>
      <c r="L67" s="27"/>
      <c r="M67" s="27"/>
      <c r="N67" s="27"/>
      <c r="O67" s="27"/>
      <c r="P67" s="52"/>
      <c r="Q67" s="31"/>
      <c r="S67">
        <v>3</v>
      </c>
      <c r="T67" s="102">
        <f t="shared" si="4"/>
        <v>7083333.333333333</v>
      </c>
      <c r="U67" s="102">
        <f t="shared" ref="U67:U76" si="7">T67/(1+$V$12)^(S66/12)</f>
        <v>7045391.7373315049</v>
      </c>
      <c r="V67" s="102">
        <f t="shared" si="5"/>
        <v>141666.66666666666</v>
      </c>
      <c r="W67" s="102">
        <f t="shared" si="6"/>
        <v>140529.94439509627</v>
      </c>
    </row>
    <row r="68" spans="1:23" x14ac:dyDescent="0.25">
      <c r="A68" s="36" t="s">
        <v>1382</v>
      </c>
      <c r="B68" s="27"/>
      <c r="C68" s="27"/>
      <c r="D68" s="27"/>
      <c r="E68" s="27"/>
      <c r="F68" s="27"/>
      <c r="G68" s="27"/>
      <c r="H68" s="27"/>
      <c r="I68" s="27"/>
      <c r="J68" s="27"/>
      <c r="K68" s="27"/>
      <c r="L68" s="27"/>
      <c r="M68" s="27"/>
      <c r="N68" s="27"/>
      <c r="O68" s="27"/>
      <c r="P68" s="52"/>
      <c r="Q68" s="31"/>
      <c r="S68">
        <v>4</v>
      </c>
      <c r="T68" s="102">
        <f t="shared" si="4"/>
        <v>7083333.333333333</v>
      </c>
      <c r="U68" s="102">
        <f t="shared" si="7"/>
        <v>7026497.2197548142</v>
      </c>
      <c r="V68" s="102">
        <f t="shared" si="5"/>
        <v>141666.66666666666</v>
      </c>
      <c r="W68" s="102">
        <f t="shared" si="6"/>
        <v>140153.0674798844</v>
      </c>
    </row>
    <row r="69" spans="1:23" x14ac:dyDescent="0.25">
      <c r="A69" s="36" t="s">
        <v>1074</v>
      </c>
      <c r="B69" s="27"/>
      <c r="C69" s="27"/>
      <c r="D69" s="27"/>
      <c r="E69" s="27"/>
      <c r="F69" s="27"/>
      <c r="G69" s="27"/>
      <c r="H69" s="27"/>
      <c r="I69" s="27"/>
      <c r="J69" s="27"/>
      <c r="K69" s="27"/>
      <c r="L69" s="27"/>
      <c r="M69" s="27"/>
      <c r="N69" s="27"/>
      <c r="O69" s="27"/>
      <c r="P69" s="52"/>
      <c r="Q69" s="31"/>
      <c r="S69">
        <v>5</v>
      </c>
      <c r="T69" s="102">
        <f t="shared" si="4"/>
        <v>7083333.333333333</v>
      </c>
      <c r="U69" s="102">
        <f t="shared" si="7"/>
        <v>7007653.3739942191</v>
      </c>
      <c r="V69" s="102">
        <f t="shared" si="5"/>
        <v>141666.66666666666</v>
      </c>
      <c r="W69" s="102">
        <f t="shared" si="6"/>
        <v>139777.2012831342</v>
      </c>
    </row>
    <row r="70" spans="1:23" x14ac:dyDescent="0.25">
      <c r="A70" s="36" t="s">
        <v>1075</v>
      </c>
      <c r="B70" s="27"/>
      <c r="C70" s="27"/>
      <c r="D70" s="27"/>
      <c r="E70" s="27"/>
      <c r="F70" s="27"/>
      <c r="G70" s="27"/>
      <c r="H70" s="27"/>
      <c r="I70" s="27"/>
      <c r="J70" s="27"/>
      <c r="K70" s="27"/>
      <c r="L70" s="27"/>
      <c r="M70" s="27"/>
      <c r="N70" s="27"/>
      <c r="O70" s="27"/>
      <c r="P70" s="52"/>
      <c r="Q70" s="31"/>
      <c r="S70">
        <v>6</v>
      </c>
      <c r="T70" s="102">
        <f t="shared" si="4"/>
        <v>7083333.333333333</v>
      </c>
      <c r="U70" s="102">
        <f t="shared" si="7"/>
        <v>6988860.0641567111</v>
      </c>
      <c r="V70" s="102">
        <f t="shared" si="5"/>
        <v>141666.66666666666</v>
      </c>
      <c r="W70" s="102">
        <f t="shared" si="6"/>
        <v>139402.34309427426</v>
      </c>
    </row>
    <row r="71" spans="1:23" x14ac:dyDescent="0.25">
      <c r="A71" s="36" t="s">
        <v>1076</v>
      </c>
      <c r="B71" s="27"/>
      <c r="C71" s="27"/>
      <c r="D71" s="27"/>
      <c r="E71" s="27"/>
      <c r="F71" s="27"/>
      <c r="G71" s="27"/>
      <c r="H71" s="27"/>
      <c r="I71" s="27"/>
      <c r="J71" s="27"/>
      <c r="K71" s="27"/>
      <c r="L71" s="27"/>
      <c r="M71" s="27"/>
      <c r="N71" s="27"/>
      <c r="O71" s="27"/>
      <c r="P71" s="52"/>
      <c r="Q71" s="31"/>
      <c r="S71">
        <v>7</v>
      </c>
      <c r="T71" s="102">
        <f t="shared" si="4"/>
        <v>7083333.333333333</v>
      </c>
      <c r="U71" s="102">
        <f t="shared" si="7"/>
        <v>6970117.1547137126</v>
      </c>
      <c r="V71" s="102">
        <f t="shared" si="5"/>
        <v>141666.66666666666</v>
      </c>
      <c r="W71" s="102">
        <f t="shared" si="6"/>
        <v>139028.49021000235</v>
      </c>
    </row>
    <row r="72" spans="1:23" x14ac:dyDescent="0.25">
      <c r="A72" s="36" t="s">
        <v>1077</v>
      </c>
      <c r="B72" s="27"/>
      <c r="C72" s="27"/>
      <c r="D72" s="27"/>
      <c r="E72" s="27"/>
      <c r="F72" s="27"/>
      <c r="G72" s="27"/>
      <c r="H72" s="27"/>
      <c r="I72" s="27"/>
      <c r="J72" s="27"/>
      <c r="K72" s="27"/>
      <c r="L72" s="27"/>
      <c r="M72" s="27"/>
      <c r="N72" s="27"/>
      <c r="O72" s="27"/>
      <c r="P72" s="52"/>
      <c r="Q72" s="31"/>
      <c r="S72">
        <v>8</v>
      </c>
      <c r="T72" s="102">
        <f t="shared" si="4"/>
        <v>7083333.333333333</v>
      </c>
      <c r="U72" s="102">
        <f t="shared" si="7"/>
        <v>6951424.5105001172</v>
      </c>
      <c r="V72" s="102">
        <f t="shared" si="5"/>
        <v>141666.66666666666</v>
      </c>
      <c r="W72" s="102">
        <f t="shared" si="6"/>
        <v>138655.6399342661</v>
      </c>
    </row>
    <row r="73" spans="1:23" x14ac:dyDescent="0.25">
      <c r="A73" s="36" t="s">
        <v>1078</v>
      </c>
      <c r="B73" s="27"/>
      <c r="C73" s="27"/>
      <c r="D73" s="27"/>
      <c r="E73" s="27"/>
      <c r="F73" s="27"/>
      <c r="G73" s="27"/>
      <c r="H73" s="27"/>
      <c r="I73" s="27"/>
      <c r="J73" s="27"/>
      <c r="K73" s="27"/>
      <c r="L73" s="27"/>
      <c r="M73" s="27"/>
      <c r="N73" s="27"/>
      <c r="O73" s="27"/>
      <c r="P73" s="52"/>
      <c r="Q73" s="31"/>
      <c r="S73">
        <v>9</v>
      </c>
      <c r="T73" s="102">
        <f t="shared" si="4"/>
        <v>7083333.333333333</v>
      </c>
      <c r="U73" s="102">
        <f t="shared" si="7"/>
        <v>6932781.9967133058</v>
      </c>
      <c r="V73" s="102">
        <f t="shared" si="5"/>
        <v>141666.66666666666</v>
      </c>
      <c r="W73" s="102">
        <f t="shared" si="6"/>
        <v>138283.78957824351</v>
      </c>
    </row>
    <row r="74" spans="1:23" x14ac:dyDescent="0.25">
      <c r="A74" s="36" t="s">
        <v>1079</v>
      </c>
      <c r="B74" s="27"/>
      <c r="C74" s="27"/>
      <c r="D74" s="27"/>
      <c r="E74" s="27"/>
      <c r="F74" s="27"/>
      <c r="G74" s="27"/>
      <c r="H74" s="27"/>
      <c r="I74" s="27"/>
      <c r="J74" s="27"/>
      <c r="K74" s="27"/>
      <c r="L74" s="27"/>
      <c r="M74" s="27"/>
      <c r="N74" s="27"/>
      <c r="O74" s="27"/>
      <c r="P74" s="52"/>
      <c r="Q74" s="31"/>
      <c r="S74">
        <v>10</v>
      </c>
      <c r="T74" s="102">
        <f t="shared" si="4"/>
        <v>7083333.333333333</v>
      </c>
      <c r="U74" s="102">
        <f t="shared" si="7"/>
        <v>6914189.4789121747</v>
      </c>
      <c r="V74" s="102">
        <f t="shared" si="5"/>
        <v>141666.66666666666</v>
      </c>
      <c r="W74" s="102">
        <f t="shared" si="6"/>
        <v>137912.93646032343</v>
      </c>
    </row>
    <row r="75" spans="1:23" ht="14.25" customHeight="1" x14ac:dyDescent="0.25">
      <c r="A75" s="36"/>
      <c r="B75" s="27"/>
      <c r="C75" s="27"/>
      <c r="D75" s="27"/>
      <c r="E75" s="27"/>
      <c r="F75" s="27"/>
      <c r="G75" s="27"/>
      <c r="H75" s="27"/>
      <c r="I75" s="27"/>
      <c r="J75" s="27"/>
      <c r="K75" s="27"/>
      <c r="L75" s="27"/>
      <c r="M75" s="27"/>
      <c r="N75" s="27"/>
      <c r="O75" s="27"/>
      <c r="P75" s="52"/>
      <c r="Q75" s="31"/>
      <c r="S75">
        <v>11</v>
      </c>
      <c r="T75" s="102">
        <f t="shared" si="4"/>
        <v>7083333.333333333</v>
      </c>
      <c r="U75" s="102">
        <f t="shared" si="7"/>
        <v>6895646.8230161713</v>
      </c>
      <c r="V75" s="102">
        <f t="shared" si="5"/>
        <v>141666.66666666666</v>
      </c>
      <c r="W75" s="102">
        <f t="shared" si="6"/>
        <v>137543.0779060864</v>
      </c>
    </row>
    <row r="76" spans="1:23" x14ac:dyDescent="0.25">
      <c r="A76" s="35" t="s">
        <v>2</v>
      </c>
      <c r="B76" s="27" t="s">
        <v>1226</v>
      </c>
      <c r="C76" s="27"/>
      <c r="D76" s="27"/>
      <c r="E76" s="27"/>
      <c r="F76" s="27"/>
      <c r="G76" s="27"/>
      <c r="H76" s="27"/>
      <c r="I76" s="27"/>
      <c r="J76" s="27"/>
      <c r="K76" s="27"/>
      <c r="L76" s="27"/>
      <c r="M76" s="27"/>
      <c r="N76" s="27"/>
      <c r="O76" s="27"/>
      <c r="P76" s="52"/>
      <c r="Q76" s="31"/>
      <c r="S76">
        <v>12</v>
      </c>
      <c r="T76" s="102">
        <f t="shared" si="4"/>
        <v>7083333.333333333</v>
      </c>
      <c r="U76" s="102">
        <f t="shared" si="7"/>
        <v>6877153.8953043204</v>
      </c>
      <c r="V76" s="102">
        <f t="shared" si="5"/>
        <v>141666.66666666666</v>
      </c>
      <c r="W76" s="102">
        <f t="shared" si="6"/>
        <v>137174.21124828531</v>
      </c>
    </row>
    <row r="77" spans="1:23" ht="14.25" customHeight="1" thickBot="1" x14ac:dyDescent="0.3">
      <c r="A77" s="9">
        <f>INDEX('Point Grid'!$C$8:$I$35,MATCH($A$1,'Point Grid'!$A$8:$A$35,0),MATCH(A76,'Point Grid'!$C$7:$I$7,0))</f>
        <v>1</v>
      </c>
      <c r="B77" s="27"/>
      <c r="C77" s="27"/>
      <c r="D77" s="27"/>
      <c r="E77" s="27"/>
      <c r="F77" s="27"/>
      <c r="G77" s="27"/>
      <c r="H77" s="27"/>
      <c r="I77" s="27"/>
      <c r="J77" s="27"/>
      <c r="K77" s="27"/>
      <c r="L77" s="27"/>
      <c r="M77" s="27"/>
      <c r="N77" s="27"/>
      <c r="O77" s="27"/>
      <c r="P77" s="52"/>
      <c r="Q77" s="31"/>
      <c r="S77">
        <v>13</v>
      </c>
      <c r="T77" s="102">
        <f t="shared" si="4"/>
        <v>7083333.333333333</v>
      </c>
      <c r="U77" s="102">
        <f>T77/(1+$V$12)^(S76/12)</f>
        <v>6858710.5624142652</v>
      </c>
      <c r="V77" s="102">
        <f t="shared" si="5"/>
        <v>141666.66666666666</v>
      </c>
      <c r="W77" s="102">
        <f>V77/(1+ $V$13)^(S77/12)</f>
        <v>136519.89764651706</v>
      </c>
    </row>
    <row r="78" spans="1:23" ht="15.75" thickBot="1" x14ac:dyDescent="0.3">
      <c r="A78" s="5"/>
      <c r="B78" s="27"/>
      <c r="C78" s="27"/>
      <c r="D78" s="27"/>
      <c r="E78" s="27"/>
      <c r="F78" s="27"/>
      <c r="G78" s="27"/>
      <c r="H78" s="27"/>
      <c r="I78" s="27"/>
      <c r="J78" s="27"/>
      <c r="K78" s="27"/>
      <c r="L78" s="27"/>
      <c r="M78" s="27"/>
      <c r="N78" s="27"/>
      <c r="O78" s="27"/>
      <c r="P78" s="52"/>
      <c r="Q78" s="31"/>
      <c r="S78">
        <v>14</v>
      </c>
      <c r="T78" s="102">
        <f t="shared" si="4"/>
        <v>7083333.333333333</v>
      </c>
      <c r="U78" s="102">
        <f>T78/(1+$V$13)^(S77/12)</f>
        <v>6825994.8823258523</v>
      </c>
      <c r="V78" s="102">
        <f t="shared" si="5"/>
        <v>141666.66666666666</v>
      </c>
      <c r="W78" s="102">
        <f t="shared" ref="W78:W82" si="8">V78/(1+ $V$13)^(S78/12)</f>
        <v>136131.82530827069</v>
      </c>
    </row>
    <row r="79" spans="1:23" x14ac:dyDescent="0.25">
      <c r="A79" s="36"/>
      <c r="B79" s="27"/>
      <c r="C79" s="27"/>
      <c r="D79" s="27"/>
      <c r="E79" s="27"/>
      <c r="F79" s="27"/>
      <c r="G79" s="27"/>
      <c r="H79" s="27"/>
      <c r="I79" s="27"/>
      <c r="J79" s="27"/>
      <c r="K79" s="27"/>
      <c r="L79" s="27"/>
      <c r="M79" s="27"/>
      <c r="N79" s="27"/>
      <c r="O79" s="27"/>
      <c r="P79" s="52"/>
      <c r="Q79" s="31"/>
      <c r="S79">
        <v>15</v>
      </c>
      <c r="T79" s="102">
        <f t="shared" si="4"/>
        <v>7083333.333333333</v>
      </c>
      <c r="U79" s="102">
        <f t="shared" ref="U79:U82" si="9">T79/(1+$V$13)^(S78/12)</f>
        <v>6806591.2654135348</v>
      </c>
      <c r="V79" s="102">
        <f t="shared" si="5"/>
        <v>141666.66666666666</v>
      </c>
      <c r="W79" s="102">
        <f t="shared" si="8"/>
        <v>135744.85610694656</v>
      </c>
    </row>
    <row r="80" spans="1:23" x14ac:dyDescent="0.25">
      <c r="A80" s="35" t="s">
        <v>3</v>
      </c>
      <c r="B80" s="27" t="s">
        <v>1227</v>
      </c>
      <c r="C80" s="27"/>
      <c r="D80" s="27"/>
      <c r="E80" s="27"/>
      <c r="F80" s="27"/>
      <c r="G80" s="27"/>
      <c r="H80" s="27"/>
      <c r="I80" s="27"/>
      <c r="J80" s="27"/>
      <c r="K80" s="27"/>
      <c r="L80" s="27"/>
      <c r="M80" s="27"/>
      <c r="N80" s="27"/>
      <c r="O80" s="27"/>
      <c r="P80" s="52"/>
      <c r="Q80" s="31"/>
      <c r="S80">
        <v>16</v>
      </c>
      <c r="T80" s="102">
        <f t="shared" si="4"/>
        <v>7083333.333333333</v>
      </c>
      <c r="U80" s="102">
        <f t="shared" si="9"/>
        <v>6787242.8053473281</v>
      </c>
      <c r="V80" s="102">
        <f t="shared" si="5"/>
        <v>141666.66666666666</v>
      </c>
      <c r="W80" s="102">
        <f t="shared" si="8"/>
        <v>135358.98690676055</v>
      </c>
    </row>
    <row r="81" spans="1:27" ht="15.75" thickBot="1" x14ac:dyDescent="0.3">
      <c r="A81" s="9">
        <f>INDEX('Point Grid'!$C$8:$I$35,MATCH($A$1,'Point Grid'!$A$8:$A$35,0),MATCH(A80,'Point Grid'!$C$7:$I$7,0))</f>
        <v>1.75</v>
      </c>
      <c r="B81" s="27" t="s">
        <v>1080</v>
      </c>
      <c r="C81" s="27"/>
      <c r="D81" s="27"/>
      <c r="E81" s="27"/>
      <c r="F81" s="27"/>
      <c r="G81" s="27"/>
      <c r="H81" s="27"/>
      <c r="I81" s="27"/>
      <c r="J81" s="27"/>
      <c r="K81" s="27"/>
      <c r="L81" s="27"/>
      <c r="M81" s="27"/>
      <c r="N81" s="27"/>
      <c r="O81" s="27"/>
      <c r="P81" s="52"/>
      <c r="Q81" s="31"/>
      <c r="S81">
        <v>17</v>
      </c>
      <c r="T81" s="102">
        <f t="shared" si="4"/>
        <v>7083333.333333333</v>
      </c>
      <c r="U81" s="102">
        <f t="shared" si="9"/>
        <v>6767949.3453380279</v>
      </c>
      <c r="V81" s="102">
        <f t="shared" si="5"/>
        <v>141666.66666666666</v>
      </c>
      <c r="W81" s="102">
        <f t="shared" si="8"/>
        <v>134974.21458084235</v>
      </c>
    </row>
    <row r="82" spans="1:27" ht="15.75" thickBot="1" x14ac:dyDescent="0.3">
      <c r="A82" s="5"/>
      <c r="B82" s="27" t="s">
        <v>1081</v>
      </c>
      <c r="C82" s="27"/>
      <c r="D82" s="27"/>
      <c r="E82" s="27"/>
      <c r="F82" s="27"/>
      <c r="G82" s="27"/>
      <c r="H82" s="27"/>
      <c r="I82" s="27"/>
      <c r="J82" s="27"/>
      <c r="K82" s="27"/>
      <c r="L82" s="27"/>
      <c r="M82" s="27"/>
      <c r="N82" s="27"/>
      <c r="O82" s="27"/>
      <c r="P82" s="52"/>
      <c r="Q82" s="31"/>
      <c r="S82">
        <v>18</v>
      </c>
      <c r="T82" s="102">
        <f t="shared" si="4"/>
        <v>7083333.333333333</v>
      </c>
      <c r="U82" s="102">
        <f t="shared" si="9"/>
        <v>6748710.7290421184</v>
      </c>
      <c r="V82" s="102">
        <f t="shared" si="5"/>
        <v>141666.66666666666</v>
      </c>
      <c r="W82" s="102">
        <f t="shared" si="8"/>
        <v>134590.53601121015</v>
      </c>
    </row>
    <row r="83" spans="1:27" x14ac:dyDescent="0.25">
      <c r="A83" s="36"/>
      <c r="B83" s="27" t="s">
        <v>1082</v>
      </c>
      <c r="C83" s="27"/>
      <c r="D83" s="27"/>
      <c r="E83" s="27"/>
      <c r="F83" s="27"/>
      <c r="G83" s="27"/>
      <c r="H83" s="27"/>
      <c r="I83" s="27"/>
      <c r="J83" s="27"/>
      <c r="K83" s="27"/>
      <c r="L83" s="27"/>
      <c r="M83" s="27"/>
      <c r="N83" s="27"/>
      <c r="O83" s="27"/>
      <c r="P83" s="52"/>
      <c r="Q83" s="31"/>
      <c r="S83" t="s">
        <v>1118</v>
      </c>
      <c r="T83" s="102">
        <f>SUM(T65:T82)</f>
        <v>127499999.99999997</v>
      </c>
      <c r="U83" s="380">
        <f>SUM(U65:U82)</f>
        <v>124552586.24059424</v>
      </c>
      <c r="V83" s="102">
        <f t="shared" ref="V83:W83" si="10">SUM(V65:V82)</f>
        <v>2550000</v>
      </c>
      <c r="W83" s="380">
        <f t="shared" si="10"/>
        <v>2483975.5941564282</v>
      </c>
    </row>
    <row r="84" spans="1:27" x14ac:dyDescent="0.25">
      <c r="A84" s="36"/>
      <c r="B84" s="27"/>
      <c r="C84" s="27"/>
      <c r="D84" s="27"/>
      <c r="E84" s="27"/>
      <c r="F84" s="27"/>
      <c r="G84" s="27"/>
      <c r="H84" s="27"/>
      <c r="I84" s="27"/>
      <c r="J84" s="27"/>
      <c r="K84" s="27"/>
      <c r="L84" s="27"/>
      <c r="M84" s="27"/>
      <c r="N84" s="27"/>
      <c r="O84" s="27"/>
      <c r="P84" s="52"/>
      <c r="Q84" s="31"/>
    </row>
    <row r="85" spans="1:27" x14ac:dyDescent="0.25">
      <c r="A85" s="36"/>
      <c r="B85" s="27" t="s">
        <v>1379</v>
      </c>
      <c r="C85" s="27"/>
      <c r="D85" s="27"/>
      <c r="E85" s="27"/>
      <c r="F85" s="27"/>
      <c r="G85" s="27"/>
      <c r="H85" s="27"/>
      <c r="I85" s="27"/>
      <c r="J85" s="27"/>
      <c r="K85" s="27"/>
      <c r="L85" s="27"/>
      <c r="M85" s="27"/>
      <c r="N85" s="27"/>
      <c r="O85" s="27"/>
      <c r="P85" s="27"/>
      <c r="Q85" s="31"/>
      <c r="S85" s="1" t="s">
        <v>1126</v>
      </c>
    </row>
    <row r="86" spans="1:27" x14ac:dyDescent="0.25">
      <c r="A86" s="36"/>
      <c r="B86" s="27"/>
      <c r="C86" s="27"/>
      <c r="D86" s="27"/>
      <c r="E86" s="27"/>
      <c r="F86" s="27"/>
      <c r="G86" s="27"/>
      <c r="H86" s="27"/>
      <c r="I86" s="27"/>
      <c r="J86" s="27"/>
      <c r="K86" s="27"/>
      <c r="L86" s="27"/>
      <c r="M86" s="27"/>
      <c r="N86" s="27"/>
      <c r="O86" s="27"/>
      <c r="P86" s="27"/>
      <c r="Q86" s="31"/>
      <c r="S86" t="s">
        <v>1127</v>
      </c>
      <c r="T86">
        <v>1</v>
      </c>
      <c r="U86">
        <v>2</v>
      </c>
      <c r="V86" t="s">
        <v>1118</v>
      </c>
    </row>
    <row r="87" spans="1:27" x14ac:dyDescent="0.25">
      <c r="A87" s="35" t="s">
        <v>4</v>
      </c>
      <c r="B87" s="27" t="s">
        <v>1228</v>
      </c>
      <c r="C87" s="27"/>
      <c r="D87" s="27"/>
      <c r="E87" s="27"/>
      <c r="F87" s="27"/>
      <c r="G87" s="27"/>
      <c r="H87" s="27"/>
      <c r="I87" s="27"/>
      <c r="J87" s="27"/>
      <c r="K87" s="27"/>
      <c r="L87" s="27"/>
      <c r="M87" s="27"/>
      <c r="N87" s="27"/>
      <c r="O87" s="27"/>
      <c r="P87" s="27"/>
      <c r="Q87" s="31"/>
      <c r="S87" t="s">
        <v>1105</v>
      </c>
      <c r="T87" s="102">
        <f>U45*V35</f>
        <v>33150000</v>
      </c>
      <c r="U87" s="102">
        <f>U45*W35</f>
        <v>49725000</v>
      </c>
      <c r="V87" s="102">
        <f>SUM(T87:U87)</f>
        <v>82875000</v>
      </c>
      <c r="AA87" s="359"/>
    </row>
    <row r="88" spans="1:27" ht="15.75" thickBot="1" x14ac:dyDescent="0.3">
      <c r="A88" s="9">
        <f>INDEX('Point Grid'!$C$8:$I$35,MATCH($A$1,'Point Grid'!$A$8:$A$35,0),MATCH(A87,'Point Grid'!$C$7:$I$7,0))</f>
        <v>1.5</v>
      </c>
      <c r="B88" s="27"/>
      <c r="C88" s="27"/>
      <c r="D88" s="27"/>
      <c r="E88" s="27"/>
      <c r="F88" s="27"/>
      <c r="G88" s="27"/>
      <c r="H88" s="27"/>
      <c r="I88" s="27"/>
      <c r="J88" s="27"/>
      <c r="K88" s="27"/>
      <c r="L88" s="27"/>
      <c r="M88" s="27"/>
      <c r="N88" s="27"/>
      <c r="O88" s="27"/>
      <c r="P88" s="27"/>
      <c r="Q88" s="31"/>
      <c r="S88" t="s">
        <v>1128</v>
      </c>
      <c r="T88" s="102">
        <f xml:space="preserve"> T87/(1 + V12)</f>
        <v>32098765.432098765</v>
      </c>
      <c r="U88" s="102">
        <f>U87/(1+ V13)^U86</f>
        <v>46441252.253693677</v>
      </c>
      <c r="V88" s="380">
        <f>SUM(T88:U88)</f>
        <v>78540017.685792446</v>
      </c>
      <c r="AA88" s="359"/>
    </row>
    <row r="89" spans="1:27" ht="15.75" thickBot="1" x14ac:dyDescent="0.3">
      <c r="A89" s="5"/>
      <c r="B89" s="27" t="s">
        <v>1083</v>
      </c>
      <c r="C89" s="27"/>
      <c r="D89" s="27"/>
      <c r="E89" s="27"/>
      <c r="F89" s="27"/>
      <c r="G89" s="27"/>
      <c r="H89" s="27"/>
      <c r="I89" s="27"/>
      <c r="J89" s="27"/>
      <c r="K89" s="27"/>
      <c r="L89" s="27"/>
      <c r="M89" s="27"/>
      <c r="N89" s="27"/>
      <c r="O89" s="27"/>
      <c r="P89" s="27"/>
      <c r="Q89" s="31"/>
    </row>
    <row r="90" spans="1:27" x14ac:dyDescent="0.25">
      <c r="A90" s="30"/>
      <c r="B90" s="27" t="s">
        <v>1084</v>
      </c>
      <c r="C90" s="27"/>
      <c r="D90" s="27"/>
      <c r="E90" s="27"/>
      <c r="F90" s="27"/>
      <c r="G90" s="27"/>
      <c r="H90" s="27"/>
      <c r="I90" s="27"/>
      <c r="J90" s="27"/>
      <c r="K90" s="27"/>
      <c r="L90" s="27"/>
      <c r="M90" s="27"/>
      <c r="N90" s="27"/>
      <c r="O90" s="27"/>
      <c r="P90" s="27"/>
      <c r="Q90" s="31"/>
      <c r="S90" s="1" t="s">
        <v>1129</v>
      </c>
    </row>
    <row r="91" spans="1:27" ht="16.5" customHeight="1" x14ac:dyDescent="0.25">
      <c r="A91" s="35"/>
      <c r="B91" s="27" t="s">
        <v>1085</v>
      </c>
      <c r="C91" s="27"/>
      <c r="D91" s="27"/>
      <c r="E91" s="27"/>
      <c r="F91" s="27"/>
      <c r="G91" s="27"/>
      <c r="H91" s="27"/>
      <c r="I91" s="27"/>
      <c r="J91" s="27"/>
      <c r="K91" s="27"/>
      <c r="L91" s="27"/>
      <c r="M91" s="27"/>
      <c r="N91" s="27"/>
      <c r="O91" s="27"/>
      <c r="P91" s="27"/>
      <c r="Q91" s="31"/>
      <c r="S91" s="373" t="s">
        <v>1130</v>
      </c>
    </row>
    <row r="92" spans="1:27" ht="18" customHeight="1" x14ac:dyDescent="0.25">
      <c r="A92" s="9"/>
      <c r="B92" s="27" t="s">
        <v>1086</v>
      </c>
      <c r="C92" s="27"/>
      <c r="D92" s="27"/>
      <c r="E92" s="27"/>
      <c r="F92" s="27"/>
      <c r="G92" s="27"/>
      <c r="H92" s="27"/>
      <c r="I92" s="27"/>
      <c r="J92" s="27"/>
      <c r="K92" s="27"/>
      <c r="L92" s="27"/>
      <c r="M92" s="27"/>
      <c r="N92" s="27"/>
      <c r="O92" s="27"/>
      <c r="P92" s="27"/>
      <c r="Q92" s="31"/>
      <c r="S92" s="380">
        <f>-U83 + W83+ V88 +W37 + AM57</f>
        <v>-30352649.929951534</v>
      </c>
    </row>
    <row r="93" spans="1:27" ht="18" customHeight="1" x14ac:dyDescent="0.25">
      <c r="A93" s="9"/>
      <c r="B93" s="27"/>
      <c r="C93" s="27"/>
      <c r="D93" s="27"/>
      <c r="E93" s="27"/>
      <c r="F93" s="27"/>
      <c r="G93" s="27"/>
      <c r="H93" s="27"/>
      <c r="I93" s="27"/>
      <c r="J93" s="27"/>
      <c r="K93" s="27"/>
      <c r="L93" s="27"/>
      <c r="M93" s="27"/>
      <c r="N93" s="27"/>
      <c r="O93" s="27"/>
      <c r="P93" s="27"/>
      <c r="Q93" s="31"/>
      <c r="S93" t="s">
        <v>1131</v>
      </c>
      <c r="T93" s="380">
        <f>-S92</f>
        <v>30352649.929951534</v>
      </c>
    </row>
    <row r="94" spans="1:27" ht="18" customHeight="1" x14ac:dyDescent="0.25">
      <c r="A94" s="35" t="s">
        <v>5</v>
      </c>
      <c r="B94" s="27" t="s">
        <v>1229</v>
      </c>
      <c r="C94" s="27"/>
      <c r="D94" s="27"/>
      <c r="E94" s="27"/>
      <c r="F94" s="27"/>
      <c r="G94" s="27"/>
      <c r="H94" s="27"/>
      <c r="I94" s="27"/>
      <c r="J94" s="27"/>
      <c r="K94" s="27"/>
      <c r="L94" s="27"/>
      <c r="M94" s="27"/>
      <c r="N94" s="27"/>
      <c r="O94" s="27"/>
      <c r="P94" s="27"/>
      <c r="Q94" s="31"/>
    </row>
    <row r="95" spans="1:27" ht="15.75" thickBot="1" x14ac:dyDescent="0.3">
      <c r="A95" s="9">
        <f>INDEX('Point Grid'!$C$8:$I$35,MATCH($A$1,'Point Grid'!$A$8:$A$35,0),MATCH(A94,'Point Grid'!$C$7:$I$7,0))</f>
        <v>1</v>
      </c>
      <c r="B95" s="27" t="s">
        <v>1087</v>
      </c>
      <c r="C95" s="27"/>
      <c r="D95" s="27"/>
      <c r="E95" s="27"/>
      <c r="F95" s="27"/>
      <c r="G95" s="27"/>
      <c r="H95" s="27"/>
      <c r="I95" s="27"/>
      <c r="J95" s="27"/>
      <c r="K95" s="27"/>
      <c r="L95" s="27"/>
      <c r="M95" s="27"/>
      <c r="N95" s="27"/>
      <c r="O95" s="27"/>
      <c r="P95" s="27"/>
      <c r="Q95" s="31"/>
      <c r="S95" s="1" t="s">
        <v>1132</v>
      </c>
      <c r="T95" s="380">
        <f>-SUM(U66:U82) + W83 + V88  + AM57 + T93</f>
        <v>-3116666.6666666716</v>
      </c>
      <c r="U95" t="s">
        <v>1235</v>
      </c>
      <c r="Z95" s="374"/>
    </row>
    <row r="96" spans="1:27" ht="20.25" customHeight="1" thickBot="1" x14ac:dyDescent="0.3">
      <c r="A96" s="5"/>
      <c r="B96" s="27" t="s">
        <v>1088</v>
      </c>
      <c r="C96" s="27"/>
      <c r="D96" s="27"/>
      <c r="E96" s="27"/>
      <c r="F96" s="27"/>
      <c r="G96" s="27"/>
      <c r="H96" s="27"/>
      <c r="I96" s="27"/>
      <c r="J96" s="27"/>
      <c r="K96" s="27"/>
      <c r="L96" s="27"/>
      <c r="M96" s="27"/>
      <c r="N96" s="27"/>
      <c r="O96" s="27"/>
      <c r="P96" s="27"/>
      <c r="Q96" s="31"/>
      <c r="Z96" s="374"/>
    </row>
    <row r="97" spans="1:26" x14ac:dyDescent="0.25">
      <c r="A97" s="30"/>
      <c r="B97" s="27"/>
      <c r="C97" s="27"/>
      <c r="D97" s="27"/>
      <c r="E97" s="27"/>
      <c r="F97" s="27"/>
      <c r="G97" s="27"/>
      <c r="H97" s="27"/>
      <c r="I97" s="27"/>
      <c r="J97" s="27"/>
      <c r="K97" s="27"/>
      <c r="L97" s="27"/>
      <c r="M97" s="27"/>
      <c r="N97" s="27"/>
      <c r="O97" s="27"/>
      <c r="P97" s="27"/>
      <c r="Q97" s="31"/>
      <c r="S97" s="1" t="s">
        <v>1133</v>
      </c>
      <c r="Z97" s="374"/>
    </row>
    <row r="98" spans="1:26" x14ac:dyDescent="0.25">
      <c r="A98" s="35" t="s">
        <v>6</v>
      </c>
      <c r="B98" s="27" t="s">
        <v>1232</v>
      </c>
      <c r="C98" s="27"/>
      <c r="D98" s="27"/>
      <c r="E98" s="27"/>
      <c r="F98" s="27"/>
      <c r="G98" s="27"/>
      <c r="H98" s="27"/>
      <c r="I98" s="27"/>
      <c r="J98" s="27"/>
      <c r="K98" s="27"/>
      <c r="L98" s="27"/>
      <c r="M98" s="27"/>
      <c r="N98" s="27"/>
      <c r="O98" s="27"/>
      <c r="P98" s="27"/>
      <c r="Q98" s="31"/>
    </row>
    <row r="99" spans="1:26" ht="15.75" thickBot="1" x14ac:dyDescent="0.3">
      <c r="A99" s="9">
        <f>INDEX('Point Grid'!$C$8:$I$35,MATCH($A$1,'Point Grid'!$A$8:$A$35,0),MATCH(A98,'Point Grid'!$C$7:$I$7,0))</f>
        <v>1.25</v>
      </c>
      <c r="B99" s="27" t="s">
        <v>1230</v>
      </c>
      <c r="C99" s="27"/>
      <c r="D99" s="27"/>
      <c r="E99" s="27"/>
      <c r="F99" s="27"/>
      <c r="G99" s="27"/>
      <c r="H99" s="27"/>
      <c r="I99" s="27"/>
      <c r="J99" s="27"/>
      <c r="K99" s="27"/>
      <c r="L99" s="27"/>
      <c r="M99" s="27"/>
      <c r="N99" s="27"/>
      <c r="O99" s="27"/>
      <c r="P99" s="27"/>
      <c r="Q99" s="31"/>
      <c r="S99" s="1" t="s">
        <v>1134</v>
      </c>
    </row>
    <row r="100" spans="1:26" ht="15.75" thickBot="1" x14ac:dyDescent="0.3">
      <c r="A100" s="5"/>
      <c r="B100" s="27"/>
      <c r="C100" s="27"/>
      <c r="D100" s="27"/>
      <c r="E100" s="27"/>
      <c r="F100" s="27"/>
      <c r="G100" s="27"/>
      <c r="H100" s="27"/>
      <c r="I100" s="27"/>
      <c r="J100" s="27"/>
      <c r="K100" s="27"/>
      <c r="L100" s="27"/>
      <c r="M100" s="27"/>
      <c r="N100" s="27"/>
      <c r="O100" s="27"/>
      <c r="P100" s="27"/>
      <c r="Q100" s="31"/>
    </row>
    <row r="101" spans="1:26" x14ac:dyDescent="0.25">
      <c r="A101" s="27"/>
      <c r="B101" s="27"/>
      <c r="C101" s="27"/>
      <c r="D101" s="27"/>
      <c r="E101" s="27"/>
      <c r="F101" s="27"/>
      <c r="G101" s="27"/>
      <c r="H101" s="27"/>
      <c r="I101" s="27"/>
      <c r="J101" s="27"/>
      <c r="K101" s="27"/>
      <c r="L101" s="27"/>
      <c r="M101" s="27"/>
      <c r="N101" s="27"/>
      <c r="O101" s="27"/>
      <c r="P101" s="27"/>
      <c r="Q101" s="31"/>
      <c r="S101" s="1" t="s">
        <v>1135</v>
      </c>
    </row>
    <row r="102" spans="1:26" ht="15.75" thickBot="1" x14ac:dyDescent="0.3">
      <c r="A102" s="37"/>
      <c r="B102" s="37"/>
      <c r="C102" s="37"/>
      <c r="D102" s="37"/>
      <c r="E102" s="37"/>
      <c r="F102" s="37"/>
      <c r="G102" s="37"/>
      <c r="H102" s="37"/>
      <c r="I102" s="37"/>
      <c r="J102" s="37"/>
      <c r="K102" s="37"/>
      <c r="L102" s="37"/>
      <c r="M102" s="37"/>
      <c r="N102" s="37"/>
      <c r="O102" s="37"/>
      <c r="P102" s="37"/>
      <c r="Q102" s="34"/>
    </row>
    <row r="103" spans="1:26" x14ac:dyDescent="0.25">
      <c r="S103" s="1" t="s">
        <v>1136</v>
      </c>
      <c r="V103" s="102">
        <f>T65 - W37/18</f>
        <v>6516666.666666666</v>
      </c>
    </row>
    <row r="105" spans="1:26" x14ac:dyDescent="0.25">
      <c r="S105" s="1" t="s">
        <v>1137</v>
      </c>
    </row>
    <row r="106" spans="1:26" x14ac:dyDescent="0.25">
      <c r="S106" s="359"/>
    </row>
    <row r="107" spans="1:26" x14ac:dyDescent="0.25">
      <c r="S107" s="1" t="s">
        <v>1138</v>
      </c>
      <c r="V107" s="102">
        <f>T95</f>
        <v>-3116666.6666666716</v>
      </c>
    </row>
    <row r="108" spans="1:26" x14ac:dyDescent="0.25">
      <c r="S108" s="1" t="s">
        <v>1139</v>
      </c>
      <c r="V108" s="102">
        <f>V103</f>
        <v>6516666.666666666</v>
      </c>
    </row>
    <row r="109" spans="1:26" x14ac:dyDescent="0.25">
      <c r="S109" s="1" t="s">
        <v>1140</v>
      </c>
      <c r="V109" s="102">
        <f>V107-V108</f>
        <v>-9633333.3333333377</v>
      </c>
    </row>
    <row r="110" spans="1:26" x14ac:dyDescent="0.25">
      <c r="S110" s="1" t="s">
        <v>1141</v>
      </c>
      <c r="V110" s="355" t="b">
        <f xml:space="preserve"> ABS(V109) &lt; 0.03*SUM(D39:D42)*1000000</f>
        <v>0</v>
      </c>
    </row>
    <row r="111" spans="1:26" x14ac:dyDescent="0.25">
      <c r="S111" s="1" t="s">
        <v>1142</v>
      </c>
      <c r="V111" s="355" t="b">
        <f>ABS(V109) &lt; 0.05*D39*1000000</f>
        <v>0</v>
      </c>
    </row>
    <row r="112" spans="1:26" x14ac:dyDescent="0.25">
      <c r="S112" s="1" t="s">
        <v>1387</v>
      </c>
    </row>
    <row r="113" spans="19:22" x14ac:dyDescent="0.25">
      <c r="S113" s="1"/>
      <c r="V113" s="355"/>
    </row>
    <row r="114" spans="19:22" x14ac:dyDescent="0.25">
      <c r="S114" s="1" t="s">
        <v>1143</v>
      </c>
      <c r="V114" s="355"/>
    </row>
    <row r="116" spans="19:22" x14ac:dyDescent="0.25">
      <c r="S116" s="1" t="s">
        <v>1144</v>
      </c>
    </row>
    <row r="117" spans="19:22" x14ac:dyDescent="0.25">
      <c r="S117" s="359"/>
    </row>
    <row r="118" spans="19:22" x14ac:dyDescent="0.25">
      <c r="S118" t="s">
        <v>1145</v>
      </c>
    </row>
    <row r="120" spans="19:22" x14ac:dyDescent="0.25">
      <c r="S120" s="1" t="s">
        <v>1146</v>
      </c>
    </row>
    <row r="121" spans="19:22" x14ac:dyDescent="0.25">
      <c r="S121" s="359"/>
    </row>
    <row r="122" spans="19:22" x14ac:dyDescent="0.25">
      <c r="S122" t="s">
        <v>1147</v>
      </c>
    </row>
    <row r="124" spans="19:22" x14ac:dyDescent="0.25">
      <c r="S124" s="1" t="s">
        <v>1148</v>
      </c>
    </row>
    <row r="125" spans="19:22" x14ac:dyDescent="0.25">
      <c r="S125" s="359"/>
    </row>
    <row r="126" spans="19:22" x14ac:dyDescent="0.25">
      <c r="S126" t="s">
        <v>1149</v>
      </c>
    </row>
    <row r="127" spans="19:22" x14ac:dyDescent="0.25">
      <c r="S127" t="s">
        <v>1150</v>
      </c>
    </row>
    <row r="128" spans="19:22" x14ac:dyDescent="0.25">
      <c r="S128" t="s">
        <v>1151</v>
      </c>
    </row>
    <row r="129" spans="19:19" x14ac:dyDescent="0.25">
      <c r="S129" t="s">
        <v>1152</v>
      </c>
    </row>
    <row r="130" spans="19:19" x14ac:dyDescent="0.25">
      <c r="S130" t="s">
        <v>1153</v>
      </c>
    </row>
    <row r="132" spans="19:19" x14ac:dyDescent="0.25">
      <c r="S132" s="1" t="s">
        <v>1154</v>
      </c>
    </row>
    <row r="134" spans="19:19" x14ac:dyDescent="0.25">
      <c r="S134" t="s">
        <v>1155</v>
      </c>
    </row>
    <row r="135" spans="19:19" x14ac:dyDescent="0.25">
      <c r="S135" t="s">
        <v>1156</v>
      </c>
    </row>
    <row r="136" spans="19:19" x14ac:dyDescent="0.25">
      <c r="S136" t="s">
        <v>1157</v>
      </c>
    </row>
    <row r="137" spans="19:19" x14ac:dyDescent="0.25">
      <c r="S137" t="s">
        <v>1158</v>
      </c>
    </row>
    <row r="139" spans="19:19" x14ac:dyDescent="0.25">
      <c r="S139" s="1" t="s">
        <v>1159</v>
      </c>
    </row>
    <row r="141" spans="19:19" x14ac:dyDescent="0.25">
      <c r="S141" s="1" t="s">
        <v>1160</v>
      </c>
    </row>
    <row r="143" spans="19:19" x14ac:dyDescent="0.25">
      <c r="S143" s="1" t="s">
        <v>1161</v>
      </c>
    </row>
    <row r="145" spans="19:19" x14ac:dyDescent="0.25">
      <c r="S145" s="1" t="s">
        <v>1162</v>
      </c>
    </row>
    <row r="146" spans="19:19" x14ac:dyDescent="0.25">
      <c r="S146" s="359"/>
    </row>
    <row r="147" spans="19:19" x14ac:dyDescent="0.25">
      <c r="S147" t="s">
        <v>1163</v>
      </c>
    </row>
    <row r="148" spans="19:19" x14ac:dyDescent="0.25">
      <c r="S148" t="s">
        <v>1164</v>
      </c>
    </row>
    <row r="149" spans="19:19" x14ac:dyDescent="0.25">
      <c r="S149" t="s">
        <v>1236</v>
      </c>
    </row>
    <row r="150" spans="19:19" x14ac:dyDescent="0.25">
      <c r="S150" t="s">
        <v>1165</v>
      </c>
    </row>
    <row r="151" spans="19:19" x14ac:dyDescent="0.25">
      <c r="S151" t="s">
        <v>1166</v>
      </c>
    </row>
    <row r="152" spans="19:19" x14ac:dyDescent="0.25">
      <c r="S152" t="s">
        <v>1167</v>
      </c>
    </row>
    <row r="154" spans="19:19" x14ac:dyDescent="0.25">
      <c r="S154" s="1" t="s">
        <v>1168</v>
      </c>
    </row>
    <row r="155" spans="19:19" x14ac:dyDescent="0.25">
      <c r="S155" s="359"/>
    </row>
    <row r="156" spans="19:19" x14ac:dyDescent="0.25">
      <c r="S156" t="s">
        <v>1169</v>
      </c>
    </row>
    <row r="157" spans="19:19" x14ac:dyDescent="0.25">
      <c r="S157" t="s">
        <v>1170</v>
      </c>
    </row>
    <row r="159" spans="19:19" x14ac:dyDescent="0.25">
      <c r="S159" s="1" t="s">
        <v>1171</v>
      </c>
    </row>
    <row r="160" spans="19:19" x14ac:dyDescent="0.25">
      <c r="S160" s="359"/>
    </row>
    <row r="161" spans="19:19" x14ac:dyDescent="0.25">
      <c r="S161" t="s">
        <v>1172</v>
      </c>
    </row>
    <row r="162" spans="19:19" x14ac:dyDescent="0.25">
      <c r="S162" s="1" t="s">
        <v>1173</v>
      </c>
    </row>
    <row r="163" spans="19:19" x14ac:dyDescent="0.25">
      <c r="S163" t="s">
        <v>1174</v>
      </c>
    </row>
    <row r="165" spans="19:19" x14ac:dyDescent="0.25">
      <c r="S165" s="1" t="s">
        <v>1175</v>
      </c>
    </row>
    <row r="167" spans="19:19" x14ac:dyDescent="0.25">
      <c r="S167" s="1" t="s">
        <v>1176</v>
      </c>
    </row>
    <row r="169" spans="19:19" x14ac:dyDescent="0.25">
      <c r="S169" s="1" t="s">
        <v>1177</v>
      </c>
    </row>
    <row r="171" spans="19:19" ht="18" x14ac:dyDescent="0.25">
      <c r="S171" s="372" t="s">
        <v>1178</v>
      </c>
    </row>
    <row r="173" spans="19:19" x14ac:dyDescent="0.25">
      <c r="S173" s="1" t="s">
        <v>1179</v>
      </c>
    </row>
    <row r="174" spans="19:19" x14ac:dyDescent="0.25">
      <c r="S174" s="359"/>
    </row>
    <row r="175" spans="19:19" x14ac:dyDescent="0.25">
      <c r="S175" t="s">
        <v>1180</v>
      </c>
    </row>
    <row r="176" spans="19:19" x14ac:dyDescent="0.25">
      <c r="S176" t="s">
        <v>1181</v>
      </c>
    </row>
    <row r="177" spans="19:19" x14ac:dyDescent="0.25">
      <c r="S177" t="s">
        <v>1182</v>
      </c>
    </row>
    <row r="178" spans="19:19" x14ac:dyDescent="0.25">
      <c r="S178" t="s">
        <v>1183</v>
      </c>
    </row>
    <row r="180" spans="19:19" x14ac:dyDescent="0.25">
      <c r="S180" s="1" t="s">
        <v>1184</v>
      </c>
    </row>
    <row r="181" spans="19:19" x14ac:dyDescent="0.25">
      <c r="S181" s="359"/>
    </row>
    <row r="182" spans="19:19" x14ac:dyDescent="0.25">
      <c r="S182" t="s">
        <v>1185</v>
      </c>
    </row>
    <row r="183" spans="19:19" x14ac:dyDescent="0.25">
      <c r="S183" t="s">
        <v>1186</v>
      </c>
    </row>
    <row r="184" spans="19:19" x14ac:dyDescent="0.25">
      <c r="S184" t="s">
        <v>1187</v>
      </c>
    </row>
    <row r="186" spans="19:19" x14ac:dyDescent="0.25">
      <c r="S186" s="1" t="s">
        <v>1188</v>
      </c>
    </row>
    <row r="187" spans="19:19" x14ac:dyDescent="0.25">
      <c r="S187" s="359"/>
    </row>
    <row r="188" spans="19:19" x14ac:dyDescent="0.25">
      <c r="S188" t="s">
        <v>1189</v>
      </c>
    </row>
    <row r="189" spans="19:19" x14ac:dyDescent="0.25">
      <c r="S189" t="s">
        <v>1190</v>
      </c>
    </row>
    <row r="190" spans="19:19" x14ac:dyDescent="0.25">
      <c r="S190" t="s">
        <v>1191</v>
      </c>
    </row>
    <row r="191" spans="19:19" x14ac:dyDescent="0.25">
      <c r="S191" t="s">
        <v>1192</v>
      </c>
    </row>
    <row r="192" spans="19:19" x14ac:dyDescent="0.25">
      <c r="S192" t="s">
        <v>1193</v>
      </c>
    </row>
    <row r="194" spans="19:19" x14ac:dyDescent="0.25">
      <c r="S194" s="1" t="s">
        <v>1194</v>
      </c>
    </row>
    <row r="217" ht="16.5" customHeight="1" x14ac:dyDescent="0.25"/>
  </sheetData>
  <mergeCells count="1">
    <mergeCell ref="P1:Q1"/>
  </mergeCells>
  <conditionalFormatting sqref="B1">
    <cfRule type="cellIs" dxfId="55" priority="1" operator="equal">
      <formula>"Incomplete"</formula>
    </cfRule>
    <cfRule type="cellIs" dxfId="54" priority="2" operator="equal">
      <formula>"Flag for Review"</formula>
    </cfRule>
    <cfRule type="cellIs" dxfId="53" priority="3" operator="equal">
      <formula>"Finished"</formula>
    </cfRule>
  </conditionalFormatting>
  <conditionalFormatting sqref="AA2">
    <cfRule type="cellIs" dxfId="52" priority="7" operator="equal">
      <formula>"Incomplete"</formula>
    </cfRule>
    <cfRule type="cellIs" dxfId="51" priority="8" operator="equal">
      <formula>"Flag for Review"</formula>
    </cfRule>
    <cfRule type="cellIs" dxfId="50" priority="9" operator="equal">
      <formula>"Finished"</formula>
    </cfRule>
  </conditionalFormatting>
  <dataValidations count="1">
    <dataValidation type="list" allowBlank="1" showInputMessage="1" showErrorMessage="1" sqref="AA2 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5"/>
  <sheetViews>
    <sheetView zoomScaleNormal="100" workbookViewId="0"/>
  </sheetViews>
  <sheetFormatPr defaultColWidth="9.140625" defaultRowHeight="15" x14ac:dyDescent="0.25"/>
  <cols>
    <col min="1" max="1" width="8.7109375" style="29" customWidth="1"/>
    <col min="2" max="2" width="16.7109375" style="29" customWidth="1"/>
    <col min="3" max="10" width="9.42578125" style="29" customWidth="1"/>
    <col min="11" max="11" width="10.7109375" style="29" customWidth="1"/>
    <col min="12" max="20" width="9.140625" style="29"/>
    <col min="21" max="21" width="11.140625" style="29" bestFit="1" customWidth="1"/>
    <col min="22" max="16384" width="9.140625" style="29"/>
  </cols>
  <sheetData>
    <row r="1" spans="1:25" x14ac:dyDescent="0.25">
      <c r="A1" s="7">
        <v>17</v>
      </c>
      <c r="B1" s="41" t="s">
        <v>12</v>
      </c>
      <c r="C1" s="28"/>
      <c r="D1" s="28"/>
      <c r="E1" s="28"/>
      <c r="F1" s="28"/>
      <c r="G1" s="28"/>
      <c r="H1" s="28"/>
      <c r="I1" s="388" t="s">
        <v>30</v>
      </c>
      <c r="J1" s="390"/>
      <c r="L1" s="29" t="s">
        <v>54</v>
      </c>
      <c r="M1" s="70" t="s">
        <v>877</v>
      </c>
    </row>
    <row r="2" spans="1:25" x14ac:dyDescent="0.25">
      <c r="A2" s="30"/>
      <c r="B2" s="27"/>
      <c r="C2" s="27"/>
      <c r="D2" s="27"/>
      <c r="E2" s="27"/>
      <c r="F2" s="27"/>
      <c r="G2" s="27"/>
      <c r="H2" s="27"/>
      <c r="I2" s="27"/>
      <c r="J2" s="31"/>
    </row>
    <row r="3" spans="1:25" ht="15" customHeight="1" x14ac:dyDescent="0.25">
      <c r="A3" s="8" t="s">
        <v>13</v>
      </c>
      <c r="B3" s="27"/>
      <c r="C3" s="27"/>
      <c r="D3" s="27"/>
      <c r="E3" s="27"/>
      <c r="F3" s="27"/>
      <c r="G3" s="27"/>
      <c r="H3" s="27"/>
      <c r="I3" s="27"/>
      <c r="J3" s="31"/>
      <c r="L3" s="264" t="s">
        <v>2</v>
      </c>
      <c r="M3" s="36" t="s">
        <v>629</v>
      </c>
      <c r="N3" s="36"/>
      <c r="O3" s="36"/>
      <c r="P3" s="36"/>
      <c r="Q3" s="36"/>
      <c r="R3" s="36"/>
      <c r="S3" s="36"/>
      <c r="T3" s="36"/>
      <c r="U3" s="36"/>
      <c r="V3" s="36"/>
      <c r="W3" s="36"/>
      <c r="X3" s="36"/>
      <c r="Y3" s="36"/>
    </row>
    <row r="4" spans="1:25" ht="15" customHeight="1" x14ac:dyDescent="0.25">
      <c r="A4" s="9">
        <f>INDEX('Point Grid'!B:B,MATCH($A$1,'Point Grid'!A:A,0))</f>
        <v>7.75</v>
      </c>
      <c r="B4" s="27"/>
      <c r="C4" s="27"/>
      <c r="D4" s="27"/>
      <c r="E4" s="27"/>
      <c r="F4" s="27"/>
      <c r="G4" s="27"/>
      <c r="H4" s="27"/>
      <c r="I4" s="27"/>
      <c r="J4" s="31"/>
    </row>
    <row r="5" spans="1:25" ht="15" customHeight="1" x14ac:dyDescent="0.25">
      <c r="A5" s="30"/>
      <c r="B5" s="27"/>
      <c r="C5" s="27"/>
      <c r="D5" s="27"/>
      <c r="E5" s="27"/>
      <c r="F5" s="27"/>
      <c r="G5" s="27"/>
      <c r="H5" s="27"/>
      <c r="I5" s="27"/>
      <c r="J5" s="31"/>
      <c r="L5" s="241" t="s">
        <v>609</v>
      </c>
      <c r="M5" t="s">
        <v>610</v>
      </c>
      <c r="N5"/>
      <c r="O5"/>
      <c r="P5"/>
      <c r="Q5"/>
      <c r="R5"/>
      <c r="S5"/>
      <c r="T5"/>
      <c r="U5"/>
      <c r="V5"/>
      <c r="W5"/>
      <c r="X5"/>
    </row>
    <row r="6" spans="1:25" ht="15" customHeight="1" x14ac:dyDescent="0.25">
      <c r="A6" s="35" t="s">
        <v>2</v>
      </c>
      <c r="B6" s="27" t="s">
        <v>246</v>
      </c>
      <c r="C6" s="27"/>
      <c r="D6" s="27"/>
      <c r="E6" s="27"/>
      <c r="F6" s="27"/>
      <c r="G6" s="27"/>
      <c r="H6" s="27"/>
      <c r="I6" s="27"/>
      <c r="J6" s="31"/>
      <c r="L6"/>
      <c r="M6"/>
      <c r="N6"/>
      <c r="O6"/>
      <c r="P6"/>
      <c r="Q6"/>
      <c r="R6"/>
      <c r="S6"/>
      <c r="T6"/>
      <c r="U6"/>
      <c r="V6"/>
      <c r="W6"/>
      <c r="X6"/>
    </row>
    <row r="7" spans="1:25" ht="15.75" thickBot="1" x14ac:dyDescent="0.3">
      <c r="A7" s="9">
        <f>INDEX('Point Grid'!$C$8:$I$35,MATCH($A$1,'Point Grid'!$A$8:$A$35,0),MATCH(A6,'Point Grid'!$C$7:$I$7,0))</f>
        <v>2.25</v>
      </c>
      <c r="B7" s="27"/>
      <c r="C7" s="27"/>
      <c r="D7" s="27"/>
      <c r="E7" s="27"/>
      <c r="F7" s="27"/>
      <c r="G7" s="27"/>
      <c r="H7" s="27"/>
      <c r="I7" s="27"/>
      <c r="J7" s="31"/>
      <c r="L7" s="102"/>
      <c r="M7"/>
      <c r="N7" s="102"/>
      <c r="O7" s="102"/>
      <c r="P7" s="102"/>
      <c r="Q7" s="102"/>
      <c r="R7" s="242" t="s">
        <v>611</v>
      </c>
      <c r="S7" s="242" t="s">
        <v>612</v>
      </c>
      <c r="T7" s="102"/>
      <c r="U7" s="102"/>
      <c r="V7" s="102"/>
      <c r="W7" s="102"/>
      <c r="X7" s="102"/>
    </row>
    <row r="8" spans="1:25" ht="15.75" thickBot="1" x14ac:dyDescent="0.3">
      <c r="A8" s="5"/>
      <c r="B8" s="229" t="s">
        <v>564</v>
      </c>
      <c r="C8" s="52"/>
      <c r="D8" s="52"/>
      <c r="E8" s="52"/>
      <c r="F8" s="52"/>
      <c r="G8" s="52"/>
      <c r="H8" s="52"/>
      <c r="I8" s="52"/>
      <c r="J8" s="31"/>
      <c r="L8" s="102"/>
      <c r="M8" s="102" t="str">
        <f>D10</f>
        <v>Residual Interest (Non-Stock)</v>
      </c>
      <c r="N8" s="102"/>
      <c r="O8" s="102"/>
      <c r="P8" s="102"/>
      <c r="Q8" s="102"/>
      <c r="R8" s="102">
        <f>I10</f>
        <v>26</v>
      </c>
      <c r="S8" s="102"/>
      <c r="T8" s="102"/>
      <c r="U8" s="102"/>
      <c r="V8" s="102"/>
      <c r="W8" s="102"/>
      <c r="X8" s="102"/>
    </row>
    <row r="9" spans="1:25" x14ac:dyDescent="0.25">
      <c r="A9" s="27"/>
      <c r="B9" s="230" t="s">
        <v>565</v>
      </c>
      <c r="C9" s="231" t="s">
        <v>566</v>
      </c>
      <c r="D9" s="109"/>
      <c r="E9" s="109"/>
      <c r="F9" s="109"/>
      <c r="G9" s="109"/>
      <c r="H9" s="109"/>
      <c r="I9" s="232"/>
      <c r="J9" s="31"/>
      <c r="L9" s="102"/>
      <c r="M9" s="102" t="str">
        <f t="shared" ref="M9:M15" si="0">D17</f>
        <v>Common Shares</v>
      </c>
      <c r="N9" s="102"/>
      <c r="O9" s="102"/>
      <c r="P9" s="102"/>
      <c r="Q9" s="102"/>
      <c r="R9" s="102">
        <f>I17</f>
        <v>3198</v>
      </c>
      <c r="S9" s="102"/>
      <c r="T9" s="102"/>
      <c r="U9" s="102"/>
      <c r="V9" s="102"/>
      <c r="W9" s="102"/>
      <c r="X9" s="102"/>
    </row>
    <row r="10" spans="1:25" ht="15" customHeight="1" x14ac:dyDescent="0.25">
      <c r="A10" s="27"/>
      <c r="B10" s="233" t="s">
        <v>567</v>
      </c>
      <c r="C10" s="52"/>
      <c r="D10" s="52" t="s">
        <v>568</v>
      </c>
      <c r="E10" s="52"/>
      <c r="F10" s="52"/>
      <c r="G10" s="52"/>
      <c r="H10" s="52"/>
      <c r="I10" s="234">
        <v>26</v>
      </c>
      <c r="J10" s="31"/>
      <c r="L10" s="102"/>
      <c r="M10" s="102" t="str">
        <f t="shared" si="0"/>
        <v>Preferred Shares</v>
      </c>
      <c r="N10" s="102"/>
      <c r="O10" s="102"/>
      <c r="P10" s="102"/>
      <c r="Q10" s="102"/>
      <c r="R10" s="102"/>
      <c r="S10" s="102">
        <f>I18</f>
        <v>67</v>
      </c>
      <c r="T10" s="102"/>
      <c r="U10" s="102"/>
      <c r="V10" s="102"/>
      <c r="W10" s="102"/>
      <c r="X10" s="102"/>
    </row>
    <row r="11" spans="1:25" ht="15" customHeight="1" x14ac:dyDescent="0.25">
      <c r="A11" s="27"/>
      <c r="B11" s="233" t="s">
        <v>569</v>
      </c>
      <c r="C11" s="52"/>
      <c r="D11" s="52" t="s">
        <v>570</v>
      </c>
      <c r="E11" s="52"/>
      <c r="F11" s="52"/>
      <c r="G11" s="52"/>
      <c r="H11" s="52"/>
      <c r="I11" s="234">
        <v>4</v>
      </c>
      <c r="J11" s="31"/>
      <c r="L11" s="102"/>
      <c r="M11" s="102" t="str">
        <f t="shared" si="0"/>
        <v>Contributed Surplus</v>
      </c>
      <c r="N11" s="102"/>
      <c r="O11" s="102"/>
      <c r="P11" s="102"/>
      <c r="Q11" s="102"/>
      <c r="R11" s="102">
        <f>I19</f>
        <v>176</v>
      </c>
      <c r="S11" s="102"/>
      <c r="T11" s="102"/>
      <c r="U11" s="102"/>
      <c r="V11" s="102"/>
      <c r="W11" s="102"/>
      <c r="X11" s="102"/>
    </row>
    <row r="12" spans="1:25" ht="15" customHeight="1" x14ac:dyDescent="0.25">
      <c r="A12" s="27"/>
      <c r="B12" s="233" t="s">
        <v>571</v>
      </c>
      <c r="C12" s="52"/>
      <c r="D12" s="52" t="s">
        <v>572</v>
      </c>
      <c r="E12" s="52"/>
      <c r="F12" s="52"/>
      <c r="G12" s="52"/>
      <c r="H12" s="52"/>
      <c r="I12" s="234">
        <v>4</v>
      </c>
      <c r="J12" s="31"/>
      <c r="L12" s="102"/>
      <c r="M12" s="102" t="str">
        <f t="shared" si="0"/>
        <v xml:space="preserve">Other Capital </v>
      </c>
      <c r="N12" s="102"/>
      <c r="O12" s="102"/>
      <c r="P12" s="102"/>
      <c r="Q12" s="102"/>
      <c r="R12" s="102">
        <f>I20</f>
        <v>70</v>
      </c>
      <c r="S12" s="102"/>
      <c r="T12" s="102"/>
      <c r="U12" s="102"/>
      <c r="V12" s="102"/>
      <c r="W12" s="102"/>
      <c r="X12" s="102"/>
    </row>
    <row r="13" spans="1:25" ht="15" customHeight="1" x14ac:dyDescent="0.25">
      <c r="A13" s="27"/>
      <c r="B13" s="233" t="s">
        <v>573</v>
      </c>
      <c r="C13" s="52"/>
      <c r="D13" s="52" t="s">
        <v>574</v>
      </c>
      <c r="E13" s="52"/>
      <c r="F13" s="52"/>
      <c r="G13" s="52"/>
      <c r="H13" s="52"/>
      <c r="I13" s="234">
        <v>4</v>
      </c>
      <c r="J13" s="31"/>
      <c r="L13" s="102"/>
      <c r="M13" s="102" t="str">
        <f t="shared" si="0"/>
        <v>Retained Earnings</v>
      </c>
      <c r="N13" s="102"/>
      <c r="O13" s="102"/>
      <c r="P13" s="102"/>
      <c r="Q13" s="102"/>
      <c r="R13" s="102">
        <f>I21</f>
        <v>512</v>
      </c>
      <c r="S13" s="102"/>
      <c r="T13" s="102"/>
      <c r="U13" s="102"/>
      <c r="V13" s="102"/>
      <c r="W13" s="102"/>
      <c r="X13" s="102"/>
    </row>
    <row r="14" spans="1:25" ht="15" customHeight="1" x14ac:dyDescent="0.25">
      <c r="A14" s="27"/>
      <c r="B14" s="235" t="s">
        <v>575</v>
      </c>
      <c r="C14" s="97"/>
      <c r="D14" s="97" t="s">
        <v>576</v>
      </c>
      <c r="E14" s="97"/>
      <c r="F14" s="97"/>
      <c r="G14" s="97"/>
      <c r="H14" s="97"/>
      <c r="I14" s="98">
        <v>6</v>
      </c>
      <c r="J14" s="31"/>
      <c r="L14" s="102"/>
      <c r="M14" s="102" t="str">
        <f t="shared" si="0"/>
        <v>Nuclear and Other Reserves</v>
      </c>
      <c r="N14" s="102"/>
      <c r="O14" s="102"/>
      <c r="P14" s="102"/>
      <c r="Q14" s="102"/>
      <c r="R14" s="102">
        <f>I22</f>
        <v>224</v>
      </c>
      <c r="S14" s="102"/>
      <c r="T14" s="102"/>
      <c r="U14" s="102"/>
      <c r="V14" s="102"/>
      <c r="W14" s="102"/>
      <c r="X14" s="102"/>
    </row>
    <row r="15" spans="1:25" ht="15" customHeight="1" x14ac:dyDescent="0.25">
      <c r="A15" s="27"/>
      <c r="B15" s="235" t="s">
        <v>577</v>
      </c>
      <c r="C15" s="236" t="s">
        <v>578</v>
      </c>
      <c r="D15" s="97"/>
      <c r="E15" s="97"/>
      <c r="F15" s="97"/>
      <c r="G15" s="97"/>
      <c r="H15" s="97"/>
      <c r="I15" s="98">
        <f>SUM(I10:I14)</f>
        <v>44</v>
      </c>
      <c r="J15" s="31"/>
      <c r="L15" s="102"/>
      <c r="M15" s="102" t="str">
        <f t="shared" si="0"/>
        <v>Accumulated Other Comprehensive Income (Loss)</v>
      </c>
      <c r="N15" s="102"/>
      <c r="O15" s="102"/>
      <c r="P15" s="102"/>
      <c r="Q15" s="102"/>
      <c r="R15" s="102">
        <f>I23</f>
        <v>768</v>
      </c>
      <c r="S15" s="102"/>
      <c r="T15" s="102"/>
      <c r="U15" s="102"/>
      <c r="V15" s="102"/>
      <c r="W15" s="102"/>
      <c r="X15" s="102"/>
    </row>
    <row r="16" spans="1:25" ht="15" customHeight="1" x14ac:dyDescent="0.25">
      <c r="A16" s="27"/>
      <c r="B16" s="230"/>
      <c r="C16" s="231" t="s">
        <v>579</v>
      </c>
      <c r="D16" s="109"/>
      <c r="E16" s="109"/>
      <c r="F16" s="109"/>
      <c r="G16" s="109"/>
      <c r="H16" s="109"/>
      <c r="I16" s="237"/>
      <c r="J16" s="31"/>
      <c r="L16" s="102"/>
      <c r="M16" s="102" t="str">
        <f>C25</f>
        <v>Non-controlling Interests</v>
      </c>
      <c r="N16" s="102"/>
      <c r="O16" s="102"/>
      <c r="P16" s="102"/>
      <c r="Q16" s="102"/>
      <c r="R16" s="102">
        <f>IF(I28="met",I25,"")</f>
        <v>8</v>
      </c>
      <c r="S16" s="102" t="str">
        <f>IF(I28="not met",I25,"")</f>
        <v/>
      </c>
      <c r="T16" s="102"/>
      <c r="U16" s="102"/>
      <c r="V16" s="102"/>
      <c r="W16" s="102"/>
      <c r="X16" s="102"/>
    </row>
    <row r="17" spans="1:24" ht="15" customHeight="1" x14ac:dyDescent="0.25">
      <c r="A17" s="27"/>
      <c r="B17" s="233" t="s">
        <v>580</v>
      </c>
      <c r="C17" s="52"/>
      <c r="D17" s="52" t="s">
        <v>581</v>
      </c>
      <c r="E17" s="52"/>
      <c r="F17" s="52"/>
      <c r="G17" s="52"/>
      <c r="H17" s="52"/>
      <c r="I17" s="234">
        <v>3198</v>
      </c>
      <c r="J17" s="31"/>
      <c r="K17" s="90"/>
      <c r="L17" s="102"/>
      <c r="M17" s="102" t="str">
        <f>B31</f>
        <v>Category B capital</v>
      </c>
      <c r="N17"/>
      <c r="O17"/>
      <c r="P17"/>
      <c r="Q17"/>
      <c r="R17" s="102">
        <f>I31</f>
        <v>1983</v>
      </c>
      <c r="S17"/>
      <c r="T17" s="102"/>
      <c r="U17" s="102"/>
      <c r="V17" s="102"/>
      <c r="W17" s="102"/>
      <c r="X17" s="102"/>
    </row>
    <row r="18" spans="1:24" x14ac:dyDescent="0.25">
      <c r="A18" s="27"/>
      <c r="B18" s="233" t="s">
        <v>582</v>
      </c>
      <c r="C18" s="52"/>
      <c r="D18" s="52" t="s">
        <v>583</v>
      </c>
      <c r="E18" s="52"/>
      <c r="F18" s="52"/>
      <c r="G18" s="52"/>
      <c r="H18" s="52"/>
      <c r="I18" s="234">
        <v>67</v>
      </c>
      <c r="J18" s="31"/>
      <c r="K18" s="90"/>
      <c r="L18" s="102"/>
      <c r="M18" s="102" t="str">
        <f>B32</f>
        <v>Category C capital</v>
      </c>
      <c r="N18" s="102"/>
      <c r="O18" s="102"/>
      <c r="P18" s="102"/>
      <c r="Q18" s="102"/>
      <c r="R18" s="102">
        <f>I32</f>
        <v>640</v>
      </c>
      <c r="S18" s="102"/>
      <c r="T18" s="102"/>
      <c r="U18" s="102"/>
      <c r="V18" s="102"/>
      <c r="W18" s="102"/>
      <c r="X18" s="102"/>
    </row>
    <row r="19" spans="1:24" x14ac:dyDescent="0.25">
      <c r="A19" s="27"/>
      <c r="B19" s="235" t="s">
        <v>584</v>
      </c>
      <c r="C19" s="97"/>
      <c r="D19" s="97" t="s">
        <v>585</v>
      </c>
      <c r="E19" s="97"/>
      <c r="F19" s="97"/>
      <c r="G19" s="97"/>
      <c r="H19" s="97"/>
      <c r="I19" s="98">
        <v>176</v>
      </c>
      <c r="J19" s="31"/>
      <c r="K19" s="90"/>
      <c r="L19" s="102"/>
      <c r="M19" s="194"/>
      <c r="N19" s="194"/>
      <c r="O19" s="194"/>
      <c r="P19" s="194"/>
      <c r="Q19" s="243" t="s">
        <v>613</v>
      </c>
      <c r="R19" s="244">
        <f>SUM(R8:R18)</f>
        <v>7605</v>
      </c>
      <c r="S19" s="194"/>
      <c r="T19" s="102"/>
      <c r="U19" s="102"/>
      <c r="V19" s="102"/>
      <c r="W19" s="102"/>
      <c r="X19" s="102"/>
    </row>
    <row r="20" spans="1:24" x14ac:dyDescent="0.25">
      <c r="A20" s="27"/>
      <c r="B20" s="233" t="s">
        <v>586</v>
      </c>
      <c r="C20" s="52"/>
      <c r="D20" s="52" t="s">
        <v>587</v>
      </c>
      <c r="E20" s="52"/>
      <c r="F20" s="52"/>
      <c r="G20" s="52"/>
      <c r="H20" s="52"/>
      <c r="I20" s="234">
        <v>70</v>
      </c>
      <c r="J20" s="31"/>
      <c r="K20" s="90"/>
      <c r="L20" s="102"/>
      <c r="M20" s="102"/>
      <c r="N20" s="102"/>
      <c r="O20" s="102"/>
      <c r="P20" s="102"/>
      <c r="Q20" s="102"/>
      <c r="R20" s="102"/>
      <c r="S20" s="102"/>
      <c r="T20" s="102"/>
      <c r="U20" s="102"/>
      <c r="V20" s="102"/>
      <c r="W20" s="102"/>
      <c r="X20" s="102"/>
    </row>
    <row r="21" spans="1:24" x14ac:dyDescent="0.25">
      <c r="A21" s="27"/>
      <c r="B21" s="233" t="s">
        <v>588</v>
      </c>
      <c r="C21" s="52"/>
      <c r="D21" s="52" t="s">
        <v>247</v>
      </c>
      <c r="E21" s="52"/>
      <c r="F21" s="52"/>
      <c r="G21" s="52"/>
      <c r="H21" s="52"/>
      <c r="I21" s="234">
        <v>512</v>
      </c>
      <c r="J21" s="31"/>
      <c r="K21" s="90"/>
      <c r="L21" s="245" t="s">
        <v>614</v>
      </c>
      <c r="M21" s="102" t="s">
        <v>615</v>
      </c>
      <c r="N21" s="102"/>
      <c r="O21" s="102"/>
      <c r="P21" s="102"/>
      <c r="Q21" s="102"/>
      <c r="R21" s="102"/>
      <c r="S21" s="102"/>
      <c r="T21" s="102"/>
      <c r="U21" s="102"/>
      <c r="V21" s="102"/>
      <c r="W21" s="102"/>
      <c r="X21" s="102"/>
    </row>
    <row r="22" spans="1:24" x14ac:dyDescent="0.25">
      <c r="A22" s="27"/>
      <c r="B22" s="233" t="s">
        <v>589</v>
      </c>
      <c r="C22" s="52"/>
      <c r="D22" s="52" t="s">
        <v>590</v>
      </c>
      <c r="E22" s="52"/>
      <c r="F22" s="52"/>
      <c r="G22" s="52"/>
      <c r="H22" s="52"/>
      <c r="I22" s="234">
        <v>224</v>
      </c>
      <c r="J22" s="31"/>
      <c r="K22" s="90"/>
      <c r="L22" s="102"/>
      <c r="M22" s="102"/>
      <c r="N22" s="102"/>
      <c r="O22" s="102"/>
      <c r="P22" s="102"/>
      <c r="Q22" s="102"/>
      <c r="R22" s="102"/>
      <c r="S22" s="102"/>
      <c r="T22" s="102"/>
      <c r="U22" s="102"/>
      <c r="V22" s="102"/>
      <c r="W22" s="102"/>
      <c r="X22" s="102"/>
    </row>
    <row r="23" spans="1:24" x14ac:dyDescent="0.25">
      <c r="A23" s="27"/>
      <c r="B23" s="235" t="s">
        <v>591</v>
      </c>
      <c r="C23" s="97"/>
      <c r="D23" s="97" t="s">
        <v>592</v>
      </c>
      <c r="E23" s="97"/>
      <c r="F23" s="97"/>
      <c r="G23" s="97"/>
      <c r="H23" s="97"/>
      <c r="I23" s="98">
        <v>768</v>
      </c>
      <c r="J23" s="31"/>
      <c r="K23" s="90"/>
      <c r="L23" s="102"/>
      <c r="M23" s="170" t="s">
        <v>616</v>
      </c>
      <c r="N23" s="170"/>
      <c r="O23" s="170"/>
      <c r="P23" s="170"/>
      <c r="Q23" s="170"/>
      <c r="R23" s="145"/>
      <c r="S23" s="246">
        <f>R19</f>
        <v>7605</v>
      </c>
      <c r="T23" s="102"/>
      <c r="U23" s="102"/>
      <c r="V23" s="102"/>
      <c r="W23" s="102"/>
      <c r="X23" s="102"/>
    </row>
    <row r="24" spans="1:24" x14ac:dyDescent="0.25">
      <c r="A24" s="27"/>
      <c r="B24" s="233" t="s">
        <v>593</v>
      </c>
      <c r="C24" s="238" t="s">
        <v>594</v>
      </c>
      <c r="D24" s="52"/>
      <c r="E24" s="52"/>
      <c r="F24" s="52"/>
      <c r="G24" s="52"/>
      <c r="H24" s="52"/>
      <c r="I24" s="234">
        <f>SUM(I17:I23)</f>
        <v>5015</v>
      </c>
      <c r="J24" s="31"/>
      <c r="K24" s="90"/>
      <c r="L24" s="102"/>
      <c r="M24" s="102" t="str">
        <f>B33</f>
        <v>Contractual service margin (CSM) for title insurance contracts</v>
      </c>
      <c r="N24" s="102"/>
      <c r="O24" s="102"/>
      <c r="P24" s="102"/>
      <c r="Q24" s="102"/>
      <c r="R24" s="102"/>
      <c r="S24" s="102">
        <f>I33</f>
        <v>320</v>
      </c>
      <c r="T24" s="247" t="s">
        <v>295</v>
      </c>
      <c r="U24" s="248" t="s">
        <v>617</v>
      </c>
      <c r="V24" s="102"/>
      <c r="W24" s="102"/>
      <c r="X24" s="102"/>
    </row>
    <row r="25" spans="1:24" x14ac:dyDescent="0.25">
      <c r="A25" s="27"/>
      <c r="B25" s="230" t="s">
        <v>595</v>
      </c>
      <c r="C25" s="231" t="s">
        <v>596</v>
      </c>
      <c r="D25" s="109"/>
      <c r="E25" s="109"/>
      <c r="F25" s="109"/>
      <c r="G25" s="109"/>
      <c r="H25" s="109"/>
      <c r="I25" s="239">
        <v>8</v>
      </c>
      <c r="J25" s="31"/>
      <c r="K25" s="90"/>
      <c r="L25" s="102"/>
      <c r="M25" s="170" t="str">
        <f>B34</f>
        <v>Adjustments to owner-occupied property valuations</v>
      </c>
      <c r="N25" s="170"/>
      <c r="O25" s="170"/>
      <c r="P25" s="170"/>
      <c r="Q25" s="170"/>
      <c r="R25" s="170"/>
      <c r="S25" s="170">
        <f>I34</f>
        <v>-35</v>
      </c>
      <c r="T25" s="247" t="s">
        <v>295</v>
      </c>
      <c r="U25" s="248" t="s">
        <v>618</v>
      </c>
      <c r="V25" s="102"/>
      <c r="W25" s="102"/>
      <c r="X25" s="102"/>
    </row>
    <row r="26" spans="1:24" x14ac:dyDescent="0.25">
      <c r="A26" s="27"/>
      <c r="B26" s="235" t="s">
        <v>597</v>
      </c>
      <c r="C26" s="236" t="s">
        <v>598</v>
      </c>
      <c r="D26" s="97"/>
      <c r="E26" s="97"/>
      <c r="F26" s="97"/>
      <c r="G26" s="97"/>
      <c r="H26" s="97"/>
      <c r="I26" s="98">
        <f>I15+I24+I25</f>
        <v>5067</v>
      </c>
      <c r="J26" s="31"/>
      <c r="K26" s="90"/>
      <c r="L26" s="102"/>
      <c r="M26" s="102" t="str">
        <f>B35</f>
        <v>Deduction for unregistered reinsurance</v>
      </c>
      <c r="N26" s="102"/>
      <c r="O26" s="102"/>
      <c r="P26" s="102"/>
      <c r="Q26" s="102"/>
      <c r="R26" s="102"/>
      <c r="S26" s="102">
        <f>I35</f>
        <v>716</v>
      </c>
      <c r="T26" s="247" t="s">
        <v>295</v>
      </c>
      <c r="U26" s="103" t="s">
        <v>251</v>
      </c>
      <c r="V26" s="102"/>
      <c r="W26" s="102"/>
      <c r="X26" s="102"/>
    </row>
    <row r="27" spans="1:24" x14ac:dyDescent="0.25">
      <c r="A27" s="27"/>
      <c r="B27" s="52"/>
      <c r="C27" s="52"/>
      <c r="D27" s="52"/>
      <c r="E27" s="52"/>
      <c r="F27" s="52"/>
      <c r="G27" s="52"/>
      <c r="H27" s="52"/>
      <c r="I27" s="52"/>
      <c r="J27" s="31"/>
      <c r="K27" s="90"/>
      <c r="L27" s="102"/>
      <c r="M27" s="102" t="str">
        <f>B36</f>
        <v>Accumulated other comprehensive income on cash flow hedges</v>
      </c>
      <c r="N27" s="102"/>
      <c r="O27" s="102"/>
      <c r="P27" s="102"/>
      <c r="Q27" s="102"/>
      <c r="R27" s="102"/>
      <c r="S27" s="102">
        <f>I36</f>
        <v>217</v>
      </c>
      <c r="T27" s="247" t="s">
        <v>295</v>
      </c>
      <c r="U27" s="103" t="s">
        <v>251</v>
      </c>
      <c r="V27" s="102"/>
      <c r="W27" s="102"/>
      <c r="X27" s="102"/>
    </row>
    <row r="28" spans="1:24" x14ac:dyDescent="0.25">
      <c r="A28" s="27"/>
      <c r="B28" s="52" t="s">
        <v>608</v>
      </c>
      <c r="C28" s="52"/>
      <c r="D28" s="52"/>
      <c r="E28" s="52"/>
      <c r="F28" s="52"/>
      <c r="G28" s="52"/>
      <c r="H28" s="52"/>
      <c r="I28" s="240" t="s">
        <v>599</v>
      </c>
      <c r="J28" s="31"/>
      <c r="K28" s="90"/>
      <c r="L28" s="102"/>
      <c r="M28" s="102" t="str">
        <f>B37</f>
        <v>Defined benefit pension fund assets and liabilities</v>
      </c>
      <c r="N28" s="102"/>
      <c r="O28" s="102"/>
      <c r="P28" s="102"/>
      <c r="Q28" s="102"/>
      <c r="R28" s="102"/>
      <c r="S28" s="102">
        <f>I37</f>
        <v>125</v>
      </c>
      <c r="T28" s="247" t="s">
        <v>295</v>
      </c>
      <c r="U28" s="103" t="s">
        <v>251</v>
      </c>
      <c r="V28" s="102"/>
      <c r="W28" s="102"/>
      <c r="X28" s="102"/>
    </row>
    <row r="29" spans="1:24" x14ac:dyDescent="0.25">
      <c r="A29" s="30"/>
      <c r="B29" s="52"/>
      <c r="C29" s="52"/>
      <c r="D29" s="52"/>
      <c r="E29" s="52"/>
      <c r="F29" s="52"/>
      <c r="G29" s="52"/>
      <c r="H29" s="52"/>
      <c r="I29" s="52"/>
      <c r="J29" s="31"/>
      <c r="K29" s="90"/>
      <c r="L29" s="102"/>
      <c r="M29" s="194"/>
      <c r="N29" s="194"/>
      <c r="O29" s="194"/>
      <c r="P29" s="194"/>
      <c r="Q29" s="194"/>
      <c r="R29" s="194"/>
      <c r="S29" s="249">
        <f>S23+SUM(S24:S25)-SUM(S26:S28)</f>
        <v>6832</v>
      </c>
      <c r="T29" s="102"/>
      <c r="U29" s="102"/>
      <c r="V29" s="102"/>
      <c r="W29" s="102"/>
      <c r="X29" s="102"/>
    </row>
    <row r="30" spans="1:24" x14ac:dyDescent="0.25">
      <c r="A30" s="30"/>
      <c r="B30" s="238" t="s">
        <v>600</v>
      </c>
      <c r="C30" s="52"/>
      <c r="D30" s="52"/>
      <c r="E30" s="52"/>
      <c r="F30" s="52"/>
      <c r="G30" s="52"/>
      <c r="H30" s="52"/>
      <c r="I30" s="52"/>
      <c r="J30" s="31"/>
      <c r="L30" s="102"/>
      <c r="M30" s="102"/>
      <c r="N30" s="102"/>
      <c r="O30" s="102"/>
      <c r="P30" s="102"/>
      <c r="Q30" s="102"/>
      <c r="R30" s="102"/>
      <c r="S30" s="102"/>
      <c r="T30" s="102"/>
      <c r="U30" s="102"/>
      <c r="V30" s="102"/>
      <c r="W30" s="102"/>
      <c r="X30" s="102"/>
    </row>
    <row r="31" spans="1:24" x14ac:dyDescent="0.25">
      <c r="A31" s="30"/>
      <c r="B31" s="93" t="s">
        <v>601</v>
      </c>
      <c r="C31" s="94"/>
      <c r="D31" s="94"/>
      <c r="E31" s="94"/>
      <c r="F31" s="94"/>
      <c r="G31" s="94"/>
      <c r="H31" s="154"/>
      <c r="I31" s="154">
        <v>1983</v>
      </c>
      <c r="J31" s="31"/>
      <c r="L31" s="250" t="s">
        <v>619</v>
      </c>
      <c r="M31" s="102" t="s">
        <v>620</v>
      </c>
      <c r="N31" s="102"/>
      <c r="O31" s="102"/>
      <c r="P31" s="102"/>
      <c r="Q31" s="102"/>
      <c r="R31" s="102"/>
      <c r="S31" s="102"/>
      <c r="T31" s="102"/>
      <c r="U31" s="102"/>
      <c r="V31" s="102"/>
      <c r="W31" s="102"/>
      <c r="X31" s="102"/>
    </row>
    <row r="32" spans="1:24" x14ac:dyDescent="0.25">
      <c r="A32" s="30"/>
      <c r="B32" s="96" t="s">
        <v>602</v>
      </c>
      <c r="C32" s="97"/>
      <c r="D32" s="97"/>
      <c r="E32" s="97"/>
      <c r="F32" s="97"/>
      <c r="G32" s="97"/>
      <c r="H32" s="153"/>
      <c r="I32" s="153">
        <v>640</v>
      </c>
      <c r="J32" s="31"/>
      <c r="L32" s="102"/>
      <c r="M32" s="102"/>
      <c r="N32" s="102"/>
      <c r="O32" s="102"/>
      <c r="P32" s="102"/>
      <c r="Q32" s="102"/>
      <c r="R32" s="102"/>
      <c r="S32" s="102"/>
      <c r="T32" s="102"/>
      <c r="U32" s="102"/>
      <c r="V32" s="102"/>
      <c r="W32" s="102"/>
      <c r="X32" s="102"/>
    </row>
    <row r="33" spans="1:24" ht="15" customHeight="1" x14ac:dyDescent="0.25">
      <c r="A33" s="30"/>
      <c r="B33" s="93" t="s">
        <v>603</v>
      </c>
      <c r="C33" s="94"/>
      <c r="D33" s="94"/>
      <c r="E33" s="94"/>
      <c r="F33" s="94"/>
      <c r="G33" s="94"/>
      <c r="H33" s="154"/>
      <c r="I33" s="154">
        <v>320</v>
      </c>
      <c r="J33" s="31"/>
      <c r="L33" s="102"/>
      <c r="M33" s="251" t="s">
        <v>621</v>
      </c>
      <c r="N33" s="142" t="s">
        <v>113</v>
      </c>
      <c r="O33" s="142">
        <f>I31</f>
        <v>1983</v>
      </c>
      <c r="P33" s="142" t="s">
        <v>126</v>
      </c>
      <c r="Q33" s="142">
        <f>I32</f>
        <v>640</v>
      </c>
      <c r="R33" s="142" t="s">
        <v>113</v>
      </c>
      <c r="S33" s="142">
        <f>O33+Q33</f>
        <v>2623</v>
      </c>
      <c r="T33" s="102"/>
      <c r="U33" s="102"/>
      <c r="V33" s="102"/>
      <c r="W33" s="102"/>
      <c r="X33" s="102"/>
    </row>
    <row r="34" spans="1:24" ht="15" customHeight="1" x14ac:dyDescent="0.25">
      <c r="A34" s="30"/>
      <c r="B34" s="114" t="s">
        <v>604</v>
      </c>
      <c r="C34" s="52"/>
      <c r="D34" s="52"/>
      <c r="E34" s="52"/>
      <c r="F34" s="52"/>
      <c r="G34" s="52"/>
      <c r="H34" s="152"/>
      <c r="I34" s="152">
        <v>-35</v>
      </c>
      <c r="J34" s="31"/>
      <c r="L34" s="102"/>
      <c r="M34" s="251" t="s">
        <v>121</v>
      </c>
      <c r="N34" s="142" t="s">
        <v>113</v>
      </c>
      <c r="O34" s="142"/>
      <c r="P34" s="142"/>
      <c r="Q34" s="142"/>
      <c r="R34" s="142" t="s">
        <v>113</v>
      </c>
      <c r="S34" s="142">
        <f>I32</f>
        <v>640</v>
      </c>
      <c r="T34" s="102"/>
      <c r="U34" s="102"/>
      <c r="V34" s="102"/>
      <c r="W34" s="102"/>
      <c r="X34" s="102"/>
    </row>
    <row r="35" spans="1:24" ht="15" customHeight="1" x14ac:dyDescent="0.25">
      <c r="A35" s="30"/>
      <c r="B35" s="114" t="s">
        <v>605</v>
      </c>
      <c r="C35" s="27"/>
      <c r="D35" s="27"/>
      <c r="E35" s="27"/>
      <c r="F35" s="27"/>
      <c r="G35" s="27"/>
      <c r="H35" s="61"/>
      <c r="I35" s="152">
        <v>716</v>
      </c>
      <c r="J35" s="31"/>
      <c r="L35" s="102"/>
      <c r="M35" s="142"/>
      <c r="N35" s="142"/>
      <c r="O35" s="142"/>
      <c r="P35" s="142"/>
      <c r="Q35" s="142"/>
      <c r="R35" s="142"/>
      <c r="S35" s="193"/>
      <c r="T35" s="102"/>
      <c r="U35" s="102"/>
      <c r="V35" s="102"/>
      <c r="W35" s="102"/>
      <c r="X35" s="102"/>
    </row>
    <row r="36" spans="1:24" ht="15" customHeight="1" x14ac:dyDescent="0.25">
      <c r="A36" s="30"/>
      <c r="B36" s="114" t="s">
        <v>606</v>
      </c>
      <c r="C36" s="52"/>
      <c r="D36" s="52"/>
      <c r="E36" s="52"/>
      <c r="F36" s="52"/>
      <c r="G36" s="52"/>
      <c r="H36" s="152"/>
      <c r="I36" s="152">
        <v>217</v>
      </c>
      <c r="J36" s="31"/>
      <c r="L36" s="102"/>
      <c r="M36" s="102"/>
      <c r="N36" s="102"/>
      <c r="O36" s="102"/>
      <c r="P36" s="102"/>
      <c r="Q36" s="102"/>
      <c r="R36" s="102"/>
      <c r="S36" s="102"/>
      <c r="T36" s="102"/>
      <c r="U36" s="102"/>
      <c r="V36" s="102"/>
      <c r="W36" s="102"/>
      <c r="X36" s="102"/>
    </row>
    <row r="37" spans="1:24" ht="15" customHeight="1" x14ac:dyDescent="0.25">
      <c r="A37" s="30"/>
      <c r="B37" s="96" t="s">
        <v>607</v>
      </c>
      <c r="C37" s="97"/>
      <c r="D37" s="97"/>
      <c r="E37" s="97"/>
      <c r="F37" s="97"/>
      <c r="G37" s="97"/>
      <c r="H37" s="153"/>
      <c r="I37" s="153">
        <v>125</v>
      </c>
      <c r="J37" s="31"/>
      <c r="L37" s="102"/>
      <c r="M37" s="251" t="s">
        <v>622</v>
      </c>
      <c r="N37" s="142" t="s">
        <v>113</v>
      </c>
      <c r="O37" s="142" t="s">
        <v>125</v>
      </c>
      <c r="P37" s="245" t="s">
        <v>406</v>
      </c>
      <c r="Q37" s="142" t="s">
        <v>250</v>
      </c>
      <c r="R37" s="142" t="s">
        <v>248</v>
      </c>
      <c r="S37" s="142" t="s">
        <v>127</v>
      </c>
      <c r="T37" s="142" t="s">
        <v>128</v>
      </c>
      <c r="U37" s="193">
        <v>0.4</v>
      </c>
      <c r="V37" s="102"/>
      <c r="W37" s="102"/>
      <c r="X37" s="102"/>
    </row>
    <row r="38" spans="1:24" ht="15" customHeight="1" x14ac:dyDescent="0.25">
      <c r="A38" s="30"/>
      <c r="B38" s="36"/>
      <c r="C38" s="36"/>
      <c r="D38" s="36"/>
      <c r="E38" s="36"/>
      <c r="F38" s="36"/>
      <c r="G38" s="36"/>
      <c r="H38" s="36"/>
      <c r="I38" s="36"/>
      <c r="J38" s="31"/>
      <c r="L38" s="102"/>
      <c r="M38" s="102"/>
      <c r="N38" s="142" t="s">
        <v>113</v>
      </c>
      <c r="O38" s="142" t="s">
        <v>125</v>
      </c>
      <c r="P38" s="245">
        <f>S29</f>
        <v>6832</v>
      </c>
      <c r="Q38" s="142" t="s">
        <v>250</v>
      </c>
      <c r="R38" s="142">
        <f>I23</f>
        <v>768</v>
      </c>
      <c r="S38" s="142" t="s">
        <v>127</v>
      </c>
      <c r="T38" s="142" t="s">
        <v>128</v>
      </c>
      <c r="U38" s="193">
        <v>0.4</v>
      </c>
      <c r="V38" s="102"/>
      <c r="W38" s="102"/>
      <c r="X38" s="102"/>
    </row>
    <row r="39" spans="1:24" ht="15" customHeight="1" x14ac:dyDescent="0.25">
      <c r="A39" s="35" t="s">
        <v>3</v>
      </c>
      <c r="B39" s="27" t="s">
        <v>500</v>
      </c>
      <c r="C39" s="27"/>
      <c r="D39" s="27"/>
      <c r="E39" s="27"/>
      <c r="F39" s="27"/>
      <c r="G39" s="27"/>
      <c r="H39" s="27"/>
      <c r="I39" s="27"/>
      <c r="J39" s="31"/>
      <c r="L39" s="102"/>
      <c r="M39" s="102"/>
      <c r="N39" s="142" t="s">
        <v>113</v>
      </c>
      <c r="O39" s="252">
        <f>(P38-R38)*0.4</f>
        <v>2425.6</v>
      </c>
      <c r="P39" s="102"/>
      <c r="Q39" s="102"/>
      <c r="R39" s="102"/>
      <c r="S39" s="102"/>
      <c r="T39" s="102"/>
      <c r="U39" s="102"/>
      <c r="V39" s="102"/>
      <c r="W39" s="102"/>
      <c r="X39" s="102"/>
    </row>
    <row r="40" spans="1:24" ht="15" customHeight="1" thickBot="1" x14ac:dyDescent="0.3">
      <c r="A40" s="9">
        <f>INDEX('Point Grid'!$C$8:$I$35,MATCH($A$1,'Point Grid'!$A$8:$A$35,0),MATCH(A39,'Point Grid'!$C$7:$I$7,0))</f>
        <v>5</v>
      </c>
      <c r="B40" s="27"/>
      <c r="C40" s="27"/>
      <c r="D40" s="27"/>
      <c r="E40" s="27"/>
      <c r="F40" s="27"/>
      <c r="G40" s="27"/>
      <c r="H40" s="27"/>
      <c r="I40" s="27"/>
      <c r="J40" s="31"/>
      <c r="L40" s="102"/>
      <c r="M40" s="102"/>
      <c r="N40" s="102"/>
      <c r="O40" s="102"/>
      <c r="P40" s="102"/>
      <c r="Q40" s="102"/>
      <c r="R40" s="102"/>
      <c r="S40" s="102"/>
      <c r="T40" s="102"/>
      <c r="U40" s="102"/>
      <c r="V40" s="102"/>
      <c r="W40" s="102"/>
      <c r="X40" s="102"/>
    </row>
    <row r="41" spans="1:24" ht="15" customHeight="1" thickBot="1" x14ac:dyDescent="0.3">
      <c r="A41" s="5"/>
      <c r="B41" s="93" t="s">
        <v>637</v>
      </c>
      <c r="C41" s="94"/>
      <c r="D41" s="94"/>
      <c r="E41" s="94"/>
      <c r="F41" s="94"/>
      <c r="G41" s="94"/>
      <c r="H41" s="154"/>
      <c r="I41" s="154">
        <v>10100</v>
      </c>
      <c r="J41" s="31"/>
      <c r="L41" s="102"/>
      <c r="M41" s="102" t="s">
        <v>623</v>
      </c>
      <c r="N41" s="142" t="s">
        <v>113</v>
      </c>
      <c r="O41" s="142" t="s">
        <v>125</v>
      </c>
      <c r="P41" s="245" t="s">
        <v>406</v>
      </c>
      <c r="Q41" s="142" t="s">
        <v>250</v>
      </c>
      <c r="R41" s="142" t="s">
        <v>248</v>
      </c>
      <c r="S41" s="142" t="s">
        <v>127</v>
      </c>
      <c r="T41" s="142" t="s">
        <v>128</v>
      </c>
      <c r="U41" s="193">
        <v>7.0000000000000007E-2</v>
      </c>
      <c r="V41" s="102"/>
      <c r="W41" s="102"/>
      <c r="X41" s="102"/>
    </row>
    <row r="42" spans="1:24" x14ac:dyDescent="0.25">
      <c r="A42" s="30"/>
      <c r="B42" s="96" t="s">
        <v>638</v>
      </c>
      <c r="C42" s="97"/>
      <c r="D42" s="97"/>
      <c r="E42" s="97"/>
      <c r="F42" s="97"/>
      <c r="G42" s="97"/>
      <c r="H42" s="153"/>
      <c r="I42" s="153">
        <v>1700</v>
      </c>
      <c r="J42" s="31"/>
      <c r="L42" s="102"/>
      <c r="M42" s="102"/>
      <c r="N42" s="142" t="s">
        <v>113</v>
      </c>
      <c r="O42" s="142" t="s">
        <v>125</v>
      </c>
      <c r="P42" s="245">
        <f>S29</f>
        <v>6832</v>
      </c>
      <c r="Q42" s="142" t="s">
        <v>250</v>
      </c>
      <c r="R42" s="142">
        <f>I23</f>
        <v>768</v>
      </c>
      <c r="S42" s="142" t="s">
        <v>127</v>
      </c>
      <c r="T42" s="142" t="s">
        <v>128</v>
      </c>
      <c r="U42" s="193">
        <v>7.0000000000000007E-2</v>
      </c>
      <c r="V42" s="102"/>
      <c r="W42" s="102"/>
      <c r="X42" s="102"/>
    </row>
    <row r="43" spans="1:24" x14ac:dyDescent="0.25">
      <c r="A43" s="30"/>
      <c r="B43" s="114" t="s">
        <v>639</v>
      </c>
      <c r="C43" s="52"/>
      <c r="D43" s="52"/>
      <c r="E43" s="52"/>
      <c r="F43" s="52"/>
      <c r="G43" s="52"/>
      <c r="H43" s="152"/>
      <c r="I43" s="152">
        <v>707</v>
      </c>
      <c r="J43" s="31"/>
      <c r="L43" s="102"/>
      <c r="M43" s="102"/>
      <c r="N43" s="142" t="s">
        <v>113</v>
      </c>
      <c r="O43" s="252">
        <f>(P42-R42)*U42</f>
        <v>424.48</v>
      </c>
      <c r="P43" s="102"/>
      <c r="Q43" s="102"/>
      <c r="R43" s="102"/>
      <c r="S43" s="102"/>
      <c r="T43" s="102"/>
      <c r="U43" s="102"/>
      <c r="V43" s="102"/>
      <c r="W43" s="102"/>
      <c r="X43" s="102"/>
    </row>
    <row r="44" spans="1:24" x14ac:dyDescent="0.25">
      <c r="A44" s="30"/>
      <c r="B44" s="96" t="s">
        <v>640</v>
      </c>
      <c r="C44" s="97"/>
      <c r="D44" s="97"/>
      <c r="E44" s="97"/>
      <c r="F44" s="97"/>
      <c r="G44" s="97"/>
      <c r="H44" s="153"/>
      <c r="I44" s="153">
        <v>204</v>
      </c>
      <c r="J44" s="31"/>
      <c r="L44" s="102"/>
      <c r="M44" s="102"/>
      <c r="N44" s="102"/>
      <c r="O44" s="102"/>
      <c r="P44" s="102"/>
      <c r="Q44" s="102"/>
      <c r="R44" s="102"/>
      <c r="S44" s="102"/>
      <c r="T44" s="102"/>
      <c r="U44" s="102"/>
      <c r="V44" s="102"/>
      <c r="W44" s="102"/>
      <c r="X44" s="102"/>
    </row>
    <row r="45" spans="1:24" x14ac:dyDescent="0.25">
      <c r="A45" s="30"/>
      <c r="B45" s="96" t="s">
        <v>641</v>
      </c>
      <c r="C45" s="97"/>
      <c r="D45" s="97"/>
      <c r="E45" s="97"/>
      <c r="F45" s="97"/>
      <c r="G45" s="97"/>
      <c r="H45" s="153"/>
      <c r="I45" s="265">
        <v>0.13</v>
      </c>
      <c r="J45" s="31"/>
      <c r="L45" s="102"/>
      <c r="M45" s="102" t="s">
        <v>624</v>
      </c>
      <c r="N45" s="102"/>
      <c r="O45" s="102"/>
      <c r="P45" s="102"/>
      <c r="Q45" s="102"/>
      <c r="R45" s="102"/>
      <c r="S45" s="102"/>
      <c r="T45" s="102"/>
      <c r="U45" s="102"/>
      <c r="V45" s="102"/>
      <c r="W45" s="102"/>
      <c r="X45" s="102"/>
    </row>
    <row r="46" spans="1:24" x14ac:dyDescent="0.25">
      <c r="A46" s="30"/>
      <c r="B46" s="52"/>
      <c r="C46" s="52"/>
      <c r="D46" s="52"/>
      <c r="E46" s="52"/>
      <c r="F46" s="52"/>
      <c r="G46" s="52"/>
      <c r="H46" s="52"/>
      <c r="I46" s="52"/>
      <c r="J46" s="31"/>
      <c r="L46" s="102"/>
      <c r="M46" s="102"/>
      <c r="N46" s="102"/>
      <c r="O46" s="102"/>
      <c r="P46" s="253" t="s">
        <v>256</v>
      </c>
      <c r="Q46" s="102"/>
      <c r="R46" s="102"/>
      <c r="S46" s="102"/>
      <c r="T46" s="102"/>
      <c r="U46" s="102"/>
      <c r="V46" s="102"/>
      <c r="W46" s="102"/>
      <c r="X46" s="102"/>
    </row>
    <row r="47" spans="1:24" x14ac:dyDescent="0.25">
      <c r="A47" s="30"/>
      <c r="B47" s="93" t="s">
        <v>642</v>
      </c>
      <c r="C47" s="94"/>
      <c r="D47" s="94"/>
      <c r="E47" s="94"/>
      <c r="F47" s="94"/>
      <c r="G47" s="94"/>
      <c r="H47" s="154"/>
      <c r="I47" s="154">
        <v>1500</v>
      </c>
      <c r="J47" s="31"/>
      <c r="L47" s="102"/>
      <c r="M47" s="171"/>
      <c r="N47" s="254" t="s">
        <v>415</v>
      </c>
      <c r="O47" s="254" t="s">
        <v>255</v>
      </c>
      <c r="P47" s="255" t="s">
        <v>415</v>
      </c>
      <c r="Q47" s="102"/>
      <c r="R47" s="102"/>
      <c r="S47" s="102"/>
      <c r="T47" s="102"/>
      <c r="U47" s="102"/>
      <c r="V47" s="102"/>
      <c r="W47" s="102"/>
      <c r="X47" s="102"/>
    </row>
    <row r="48" spans="1:24" x14ac:dyDescent="0.25">
      <c r="A48" s="30"/>
      <c r="B48" s="114" t="s">
        <v>643</v>
      </c>
      <c r="C48" s="52"/>
      <c r="D48" s="52"/>
      <c r="E48" s="52"/>
      <c r="F48" s="52"/>
      <c r="G48" s="52"/>
      <c r="H48" s="152"/>
      <c r="I48" s="152">
        <v>600</v>
      </c>
      <c r="J48" s="31"/>
      <c r="L48" s="102"/>
      <c r="M48" s="256" t="s">
        <v>621</v>
      </c>
      <c r="N48" s="102">
        <f>S33</f>
        <v>2623</v>
      </c>
      <c r="O48" s="102">
        <f>O39</f>
        <v>2425.6</v>
      </c>
      <c r="P48" s="257">
        <f>MAX(N48-O48,0)</f>
        <v>197.40000000000009</v>
      </c>
      <c r="Q48" s="102"/>
      <c r="R48" s="102"/>
      <c r="S48" s="102"/>
      <c r="T48" s="102"/>
      <c r="U48" s="102"/>
      <c r="V48" s="102"/>
      <c r="W48" s="102"/>
      <c r="X48" s="102"/>
    </row>
    <row r="49" spans="1:27" x14ac:dyDescent="0.25">
      <c r="A49" s="30"/>
      <c r="B49" s="96" t="s">
        <v>644</v>
      </c>
      <c r="C49" s="97"/>
      <c r="D49" s="97"/>
      <c r="E49" s="97"/>
      <c r="F49" s="97"/>
      <c r="G49" s="97"/>
      <c r="H49" s="153"/>
      <c r="I49" s="153">
        <v>14800</v>
      </c>
      <c r="J49" s="31"/>
      <c r="L49" s="102"/>
      <c r="M49" s="166" t="s">
        <v>121</v>
      </c>
      <c r="N49" s="102">
        <f>S34</f>
        <v>640</v>
      </c>
      <c r="O49" s="102">
        <f>O43</f>
        <v>424.48</v>
      </c>
      <c r="P49" s="257">
        <f>MAX(N49-O49,0)</f>
        <v>215.51999999999998</v>
      </c>
      <c r="Q49" s="102"/>
      <c r="R49" s="102"/>
      <c r="S49" s="102"/>
      <c r="T49" s="102"/>
      <c r="U49" s="102"/>
      <c r="V49" s="102"/>
      <c r="W49" s="102"/>
      <c r="X49" s="102"/>
    </row>
    <row r="50" spans="1:27" x14ac:dyDescent="0.25">
      <c r="A50" s="30"/>
      <c r="B50" s="96" t="s">
        <v>645</v>
      </c>
      <c r="C50" s="97"/>
      <c r="D50" s="97"/>
      <c r="E50" s="97"/>
      <c r="F50" s="97"/>
      <c r="G50" s="97"/>
      <c r="H50" s="153"/>
      <c r="I50" s="265">
        <v>0.19</v>
      </c>
      <c r="J50" s="31"/>
      <c r="L50" s="102"/>
      <c r="M50" s="195"/>
      <c r="N50" s="194"/>
      <c r="O50" s="194"/>
      <c r="P50" s="258">
        <f>MAX(P48:P49)</f>
        <v>215.51999999999998</v>
      </c>
      <c r="Q50" s="259" t="s">
        <v>295</v>
      </c>
      <c r="R50" s="103" t="s">
        <v>625</v>
      </c>
      <c r="S50" s="102"/>
      <c r="T50" s="102"/>
      <c r="U50" s="102"/>
      <c r="V50" s="102"/>
      <c r="W50" s="102"/>
      <c r="X50" s="102"/>
    </row>
    <row r="51" spans="1:27" x14ac:dyDescent="0.25">
      <c r="A51" s="30"/>
      <c r="B51" s="27"/>
      <c r="C51" s="27"/>
      <c r="D51" s="27"/>
      <c r="E51" s="27"/>
      <c r="F51" s="27"/>
      <c r="G51" s="27"/>
      <c r="H51" s="27"/>
      <c r="I51" s="27"/>
      <c r="J51" s="31"/>
      <c r="L51" s="102"/>
      <c r="M51" s="102"/>
      <c r="N51" s="102"/>
      <c r="O51" s="102"/>
      <c r="P51" s="102"/>
      <c r="Q51" s="102"/>
      <c r="R51" s="102"/>
      <c r="S51" s="102"/>
      <c r="T51" s="102"/>
      <c r="U51" s="102"/>
      <c r="V51" s="102"/>
      <c r="W51" s="102"/>
      <c r="X51" s="102"/>
    </row>
    <row r="52" spans="1:27" x14ac:dyDescent="0.25">
      <c r="A52" s="30"/>
      <c r="B52" s="93" t="s">
        <v>646</v>
      </c>
      <c r="C52" s="47"/>
      <c r="D52" s="47"/>
      <c r="E52" s="47"/>
      <c r="F52" s="47"/>
      <c r="G52" s="47"/>
      <c r="H52" s="60"/>
      <c r="I52" s="154">
        <v>520</v>
      </c>
      <c r="J52" s="31"/>
      <c r="L52" s="102"/>
      <c r="M52" s="260" t="s">
        <v>626</v>
      </c>
      <c r="N52" s="228"/>
      <c r="O52" s="228"/>
      <c r="P52" s="261"/>
      <c r="Q52" s="102"/>
      <c r="R52" s="102"/>
      <c r="S52" s="102"/>
      <c r="T52" s="102"/>
      <c r="U52" s="102"/>
      <c r="V52" s="102"/>
      <c r="W52" s="102"/>
      <c r="X52" s="102"/>
    </row>
    <row r="53" spans="1:27" x14ac:dyDescent="0.25">
      <c r="A53" s="30"/>
      <c r="B53" s="96" t="s">
        <v>647</v>
      </c>
      <c r="C53" s="97"/>
      <c r="D53" s="97"/>
      <c r="E53" s="97"/>
      <c r="F53" s="97"/>
      <c r="G53" s="97"/>
      <c r="H53" s="153"/>
      <c r="I53" s="153">
        <v>270</v>
      </c>
      <c r="J53" s="31"/>
      <c r="L53" s="102"/>
      <c r="M53"/>
      <c r="N53"/>
      <c r="O53"/>
      <c r="P53"/>
      <c r="Q53"/>
      <c r="R53" s="102"/>
      <c r="S53" s="102"/>
      <c r="T53" s="102"/>
      <c r="U53" s="102"/>
      <c r="V53" s="102"/>
      <c r="W53" s="102"/>
      <c r="X53" s="102"/>
    </row>
    <row r="54" spans="1:27" x14ac:dyDescent="0.25">
      <c r="A54" s="30"/>
      <c r="B54" s="52"/>
      <c r="C54" s="52"/>
      <c r="D54" s="52"/>
      <c r="E54" s="52"/>
      <c r="F54" s="52"/>
      <c r="G54" s="52"/>
      <c r="H54" s="52"/>
      <c r="I54" s="52"/>
      <c r="J54" s="31"/>
      <c r="L54" s="102"/>
      <c r="M54" s="142" t="s">
        <v>113</v>
      </c>
      <c r="N54" s="245" t="s">
        <v>406</v>
      </c>
      <c r="O54" s="142" t="s">
        <v>250</v>
      </c>
      <c r="P54" s="102" t="s">
        <v>627</v>
      </c>
      <c r="Q54" s="102"/>
      <c r="R54" s="102"/>
      <c r="S54" s="102"/>
      <c r="T54" s="102"/>
      <c r="U54" s="102"/>
      <c r="V54" s="102"/>
      <c r="W54" s="102"/>
      <c r="X54" s="102"/>
    </row>
    <row r="55" spans="1:27" x14ac:dyDescent="0.25">
      <c r="A55" s="30"/>
      <c r="B55" s="93" t="s">
        <v>648</v>
      </c>
      <c r="C55" s="94"/>
      <c r="D55" s="94"/>
      <c r="E55" s="94"/>
      <c r="F55" s="94"/>
      <c r="G55" s="94"/>
      <c r="H55" s="154"/>
      <c r="I55" s="154">
        <v>450</v>
      </c>
      <c r="J55" s="31"/>
      <c r="L55" s="102"/>
      <c r="M55" s="142" t="s">
        <v>113</v>
      </c>
      <c r="N55" s="142">
        <f>S29</f>
        <v>6832</v>
      </c>
      <c r="O55" s="142" t="s">
        <v>250</v>
      </c>
      <c r="P55" s="262">
        <f>P50</f>
        <v>215.51999999999998</v>
      </c>
      <c r="Q55" s="102"/>
      <c r="R55" s="102"/>
      <c r="S55" s="102"/>
      <c r="T55" s="102"/>
      <c r="U55" s="102"/>
      <c r="V55" s="102"/>
      <c r="W55" s="102"/>
      <c r="X55" s="102"/>
    </row>
    <row r="56" spans="1:27" x14ac:dyDescent="0.25">
      <c r="A56" s="30"/>
      <c r="B56" s="114" t="s">
        <v>649</v>
      </c>
      <c r="C56" s="52"/>
      <c r="D56" s="52"/>
      <c r="E56" s="52"/>
      <c r="F56" s="52"/>
      <c r="G56" s="52"/>
      <c r="H56" s="152"/>
      <c r="I56" s="152">
        <v>225</v>
      </c>
      <c r="J56" s="31"/>
      <c r="L56" s="102"/>
      <c r="M56" s="142" t="s">
        <v>113</v>
      </c>
      <c r="N56" s="250">
        <f>N55-P55</f>
        <v>6616.48</v>
      </c>
      <c r="O56" s="102"/>
      <c r="P56" s="102"/>
      <c r="Q56" s="102"/>
      <c r="R56" s="102"/>
      <c r="S56" s="102"/>
      <c r="T56" s="102"/>
      <c r="U56" s="102"/>
      <c r="V56" s="102"/>
      <c r="W56" s="102"/>
      <c r="X56" s="102"/>
      <c r="Y56" s="102"/>
      <c r="Z56" s="102"/>
      <c r="AA56" s="102"/>
    </row>
    <row r="57" spans="1:27" x14ac:dyDescent="0.25">
      <c r="A57" s="30"/>
      <c r="B57" s="96" t="s">
        <v>650</v>
      </c>
      <c r="C57" s="97"/>
      <c r="D57" s="97"/>
      <c r="E57" s="97"/>
      <c r="F57" s="97"/>
      <c r="G57" s="97"/>
      <c r="H57" s="153"/>
      <c r="I57" s="153">
        <v>66.3</v>
      </c>
      <c r="J57" s="31"/>
      <c r="L57" s="102"/>
      <c r="M57" s="102"/>
      <c r="N57" s="263" t="s">
        <v>428</v>
      </c>
      <c r="O57" s="102"/>
      <c r="P57" s="102"/>
      <c r="Q57" s="102"/>
      <c r="R57" s="102"/>
      <c r="S57" s="102"/>
      <c r="T57" s="102"/>
      <c r="U57" s="102"/>
      <c r="V57" s="102"/>
      <c r="W57" s="102"/>
      <c r="X57" s="102"/>
    </row>
    <row r="58" spans="1:27" x14ac:dyDescent="0.25">
      <c r="A58" s="30"/>
      <c r="B58" s="36"/>
      <c r="C58" s="36"/>
      <c r="D58" s="36"/>
      <c r="E58" s="36"/>
      <c r="F58" s="36"/>
      <c r="G58" s="36"/>
      <c r="H58" s="36"/>
      <c r="I58" s="36"/>
      <c r="J58" s="31"/>
    </row>
    <row r="59" spans="1:27" x14ac:dyDescent="0.25">
      <c r="A59" s="30"/>
      <c r="B59" s="52" t="s">
        <v>684</v>
      </c>
      <c r="C59" s="36"/>
      <c r="D59" s="36"/>
      <c r="E59" s="36"/>
      <c r="F59" s="36"/>
      <c r="G59" s="36"/>
      <c r="H59" s="36"/>
      <c r="I59" s="36"/>
      <c r="J59" s="31"/>
      <c r="L59" s="36" t="s">
        <v>3</v>
      </c>
      <c r="M59" s="36" t="s">
        <v>628</v>
      </c>
      <c r="N59" s="36"/>
      <c r="O59" s="36"/>
      <c r="P59" s="36"/>
      <c r="Q59" s="36"/>
      <c r="R59" s="36"/>
      <c r="S59" s="36"/>
      <c r="T59" s="36"/>
      <c r="U59" s="36"/>
      <c r="V59" s="36"/>
      <c r="W59" s="36"/>
      <c r="X59" s="36"/>
      <c r="Y59" s="36"/>
      <c r="Z59" s="36"/>
      <c r="AA59" s="36"/>
    </row>
    <row r="60" spans="1:27" x14ac:dyDescent="0.25">
      <c r="A60" s="30"/>
      <c r="B60" s="36"/>
      <c r="C60" s="36"/>
      <c r="D60" s="36"/>
      <c r="E60" s="36"/>
      <c r="F60" s="36"/>
      <c r="G60" s="36"/>
      <c r="H60" s="36"/>
      <c r="I60" s="36"/>
      <c r="J60" s="31"/>
    </row>
    <row r="61" spans="1:27" x14ac:dyDescent="0.25">
      <c r="A61" s="30"/>
      <c r="B61" s="36"/>
      <c r="C61" s="108"/>
      <c r="D61" s="109"/>
      <c r="E61" s="109"/>
      <c r="F61" s="160"/>
      <c r="G61" s="292" t="s">
        <v>123</v>
      </c>
      <c r="H61" s="292" t="s">
        <v>668</v>
      </c>
      <c r="I61" s="36"/>
      <c r="J61" s="31"/>
      <c r="L61" s="57"/>
      <c r="M61" s="58" t="s">
        <v>285</v>
      </c>
    </row>
    <row r="62" spans="1:27" x14ac:dyDescent="0.25">
      <c r="A62" s="30"/>
      <c r="B62" s="36"/>
      <c r="C62" s="114" t="s">
        <v>669</v>
      </c>
      <c r="D62" s="52"/>
      <c r="E62" s="52"/>
      <c r="F62" s="152"/>
      <c r="G62" s="152">
        <v>71000</v>
      </c>
      <c r="H62" s="293">
        <v>2.2000000000000002</v>
      </c>
      <c r="I62" s="36"/>
      <c r="J62" s="31"/>
    </row>
    <row r="63" spans="1:27" x14ac:dyDescent="0.25">
      <c r="A63" s="30"/>
      <c r="B63" s="36"/>
      <c r="C63" s="96" t="s">
        <v>670</v>
      </c>
      <c r="D63" s="97"/>
      <c r="E63" s="97"/>
      <c r="F63" s="153"/>
      <c r="G63" s="153">
        <v>66700</v>
      </c>
      <c r="H63" s="294">
        <v>1.8</v>
      </c>
      <c r="I63" s="36"/>
      <c r="J63" s="31"/>
      <c r="M63" s="90" t="s">
        <v>287</v>
      </c>
      <c r="N63" s="90"/>
      <c r="O63" s="90"/>
      <c r="P63" s="90"/>
      <c r="Q63" s="99">
        <f>SUM(Q64:Q68)</f>
        <v>2961.2460000000001</v>
      </c>
      <c r="R63" s="100" t="s">
        <v>278</v>
      </c>
      <c r="S63" s="90"/>
      <c r="T63" s="90"/>
      <c r="U63" s="90"/>
    </row>
    <row r="64" spans="1:27" x14ac:dyDescent="0.25">
      <c r="A64" s="30"/>
      <c r="B64" s="52"/>
      <c r="C64" s="52"/>
      <c r="D64" s="52"/>
      <c r="E64" s="52"/>
      <c r="F64" s="52"/>
      <c r="G64" s="52"/>
      <c r="H64" s="52"/>
      <c r="I64" s="27"/>
      <c r="J64" s="31"/>
      <c r="M64" s="90" t="s">
        <v>666</v>
      </c>
      <c r="N64" s="90"/>
      <c r="O64" s="90"/>
      <c r="P64" s="90"/>
      <c r="Q64" s="101">
        <f>Q117</f>
        <v>1129.2710000000002</v>
      </c>
      <c r="R64" s="100" t="s">
        <v>284</v>
      </c>
      <c r="S64" s="90"/>
      <c r="T64" s="90"/>
      <c r="U64" s="90"/>
    </row>
    <row r="65" spans="1:21" x14ac:dyDescent="0.25">
      <c r="A65" s="30"/>
      <c r="B65" s="52" t="s">
        <v>260</v>
      </c>
      <c r="C65" s="36"/>
      <c r="D65" s="36"/>
      <c r="E65" s="36"/>
      <c r="F65" s="36"/>
      <c r="G65" s="36"/>
      <c r="H65" s="52"/>
      <c r="I65" s="27"/>
      <c r="J65" s="31"/>
      <c r="M65" s="90" t="s">
        <v>667</v>
      </c>
      <c r="N65" s="90"/>
      <c r="O65" s="90"/>
      <c r="P65" s="90"/>
      <c r="Q65" s="101">
        <f>Q118</f>
        <v>843.6</v>
      </c>
      <c r="R65" s="100" t="s">
        <v>284</v>
      </c>
      <c r="S65" s="90"/>
      <c r="T65" s="90"/>
      <c r="U65" s="90"/>
    </row>
    <row r="66" spans="1:21" x14ac:dyDescent="0.25">
      <c r="A66" s="30"/>
      <c r="B66" s="36"/>
      <c r="C66" s="36"/>
      <c r="D66" s="36"/>
      <c r="E66" s="36"/>
      <c r="F66" s="36"/>
      <c r="G66" s="36"/>
      <c r="H66" s="52"/>
      <c r="I66" s="27"/>
      <c r="J66" s="31"/>
      <c r="M66" s="90" t="s">
        <v>279</v>
      </c>
      <c r="N66" s="90"/>
      <c r="O66" s="90"/>
      <c r="P66" s="90"/>
      <c r="Q66" s="101">
        <f>Q119</f>
        <v>520</v>
      </c>
      <c r="R66" s="100" t="s">
        <v>280</v>
      </c>
      <c r="S66" s="90"/>
      <c r="T66" s="90"/>
      <c r="U66" s="90"/>
    </row>
    <row r="67" spans="1:21" x14ac:dyDescent="0.25">
      <c r="A67" s="30"/>
      <c r="B67" s="36"/>
      <c r="C67" s="52" t="s">
        <v>288</v>
      </c>
      <c r="D67" s="52"/>
      <c r="E67" s="52"/>
      <c r="F67" s="52"/>
      <c r="G67" s="52"/>
      <c r="H67" s="52">
        <v>100</v>
      </c>
      <c r="I67" s="27"/>
      <c r="J67" s="31"/>
      <c r="M67" s="90" t="s">
        <v>630</v>
      </c>
      <c r="N67" s="90"/>
      <c r="O67" s="90"/>
      <c r="P67" s="90"/>
      <c r="Q67" s="101">
        <f>Q120</f>
        <v>270</v>
      </c>
      <c r="R67" s="100" t="s">
        <v>280</v>
      </c>
      <c r="S67" s="90"/>
      <c r="T67" s="90"/>
      <c r="U67" s="90"/>
    </row>
    <row r="68" spans="1:21" x14ac:dyDescent="0.25">
      <c r="A68" s="30"/>
      <c r="B68" s="36"/>
      <c r="C68" s="52" t="s">
        <v>289</v>
      </c>
      <c r="D68" s="52"/>
      <c r="E68" s="52"/>
      <c r="F68" s="52"/>
      <c r="G68" s="52"/>
      <c r="H68" s="52">
        <v>350</v>
      </c>
      <c r="I68" s="27"/>
      <c r="J68" s="31"/>
      <c r="M68" s="90" t="s">
        <v>631</v>
      </c>
      <c r="N68" s="90"/>
      <c r="O68" s="90"/>
      <c r="P68" s="90"/>
      <c r="Q68" s="101">
        <f>Q121</f>
        <v>198.375</v>
      </c>
      <c r="R68" s="100" t="s">
        <v>284</v>
      </c>
      <c r="S68" s="90"/>
      <c r="T68" s="90"/>
      <c r="U68" s="90"/>
    </row>
    <row r="69" spans="1:21" x14ac:dyDescent="0.25">
      <c r="A69" s="30"/>
      <c r="B69" s="36"/>
      <c r="C69" s="52" t="s">
        <v>290</v>
      </c>
      <c r="D69" s="52"/>
      <c r="E69" s="52"/>
      <c r="F69" s="52"/>
      <c r="G69" s="52"/>
      <c r="H69" s="52">
        <v>250</v>
      </c>
      <c r="I69" s="27"/>
      <c r="J69" s="31"/>
    </row>
    <row r="70" spans="1:21" x14ac:dyDescent="0.25">
      <c r="A70" s="36"/>
      <c r="B70" s="36"/>
      <c r="C70" s="52" t="s">
        <v>682</v>
      </c>
      <c r="D70" s="52"/>
      <c r="E70" s="52"/>
      <c r="F70" s="52"/>
      <c r="G70" s="52"/>
      <c r="H70" s="52">
        <v>50</v>
      </c>
      <c r="I70" s="27"/>
      <c r="J70" s="31"/>
      <c r="M70" s="90" t="s">
        <v>292</v>
      </c>
      <c r="N70" s="90"/>
      <c r="O70" s="90"/>
      <c r="P70" s="90"/>
      <c r="Q70" s="99">
        <f>SUM(Q71:Q76)</f>
        <v>1276.75</v>
      </c>
      <c r="R70" s="100" t="s">
        <v>632</v>
      </c>
      <c r="S70" s="90"/>
      <c r="T70" s="90"/>
      <c r="U70" s="90"/>
    </row>
    <row r="71" spans="1:21" x14ac:dyDescent="0.25">
      <c r="A71" s="36"/>
      <c r="B71" s="36"/>
      <c r="C71" s="52" t="s">
        <v>683</v>
      </c>
      <c r="D71" s="52"/>
      <c r="E71" s="52"/>
      <c r="F71" s="52"/>
      <c r="G71" s="52"/>
      <c r="H71" s="52">
        <v>75</v>
      </c>
      <c r="I71" s="27"/>
      <c r="J71" s="31"/>
      <c r="M71" s="102" t="s">
        <v>281</v>
      </c>
      <c r="N71" s="90"/>
      <c r="O71" s="90"/>
      <c r="P71" s="90"/>
      <c r="Q71" s="101">
        <f>Q144</f>
        <v>451.75</v>
      </c>
      <c r="R71" s="100" t="s">
        <v>284</v>
      </c>
      <c r="S71" s="90"/>
      <c r="T71" s="90"/>
      <c r="U71" s="90"/>
    </row>
    <row r="72" spans="1:21" x14ac:dyDescent="0.25">
      <c r="A72" s="36"/>
      <c r="B72" s="36"/>
      <c r="C72" s="36"/>
      <c r="D72" s="36"/>
      <c r="E72" s="36"/>
      <c r="F72" s="36"/>
      <c r="G72" s="36"/>
      <c r="H72" s="36"/>
      <c r="I72" s="36"/>
      <c r="J72" s="31"/>
      <c r="M72" s="102" t="s">
        <v>633</v>
      </c>
      <c r="N72" s="90"/>
      <c r="O72" s="90"/>
      <c r="P72" s="90"/>
      <c r="Q72" s="101">
        <f>H67</f>
        <v>100</v>
      </c>
      <c r="R72" s="100" t="s">
        <v>280</v>
      </c>
      <c r="S72" s="90"/>
      <c r="T72" s="90"/>
      <c r="U72" s="90"/>
    </row>
    <row r="73" spans="1:21" x14ac:dyDescent="0.25">
      <c r="A73" s="30"/>
      <c r="B73" s="36"/>
      <c r="C73" s="52" t="s">
        <v>291</v>
      </c>
      <c r="D73" s="52"/>
      <c r="E73" s="52"/>
      <c r="F73" s="52"/>
      <c r="G73" s="52"/>
      <c r="H73" s="52">
        <v>455</v>
      </c>
      <c r="I73" s="27"/>
      <c r="J73" s="31"/>
      <c r="M73" s="102" t="s">
        <v>635</v>
      </c>
      <c r="N73" s="90"/>
      <c r="O73" s="90"/>
      <c r="P73" s="90"/>
      <c r="Q73" s="101">
        <f>H68</f>
        <v>350</v>
      </c>
      <c r="R73" s="100" t="s">
        <v>280</v>
      </c>
      <c r="S73" s="90"/>
      <c r="T73" s="90"/>
      <c r="U73" s="90"/>
    </row>
    <row r="74" spans="1:21" ht="15" customHeight="1" x14ac:dyDescent="0.25">
      <c r="A74" s="30"/>
      <c r="B74" s="52"/>
      <c r="C74" s="52"/>
      <c r="D74" s="52"/>
      <c r="E74" s="52"/>
      <c r="F74" s="52"/>
      <c r="G74" s="52"/>
      <c r="H74" s="52"/>
      <c r="I74" s="27"/>
      <c r="J74" s="31"/>
      <c r="M74" s="102" t="s">
        <v>636</v>
      </c>
      <c r="N74" s="90"/>
      <c r="O74" s="90"/>
      <c r="P74" s="90"/>
      <c r="Q74" s="101">
        <f>H69</f>
        <v>250</v>
      </c>
      <c r="R74" s="100" t="s">
        <v>280</v>
      </c>
      <c r="S74" s="90"/>
      <c r="T74" s="90"/>
      <c r="U74" s="90"/>
    </row>
    <row r="75" spans="1:21" ht="15" customHeight="1" x14ac:dyDescent="0.25">
      <c r="A75" s="30"/>
      <c r="B75" s="52"/>
      <c r="C75" s="52" t="s">
        <v>261</v>
      </c>
      <c r="D75" s="52" t="s">
        <v>262</v>
      </c>
      <c r="E75" s="52"/>
      <c r="F75" s="52"/>
      <c r="G75" s="52"/>
      <c r="H75" s="52"/>
      <c r="I75" s="27"/>
      <c r="J75" s="31"/>
      <c r="M75" s="102" t="s">
        <v>634</v>
      </c>
      <c r="N75" s="103"/>
      <c r="O75" s="103"/>
      <c r="P75" s="103"/>
      <c r="Q75" s="101">
        <f>H70</f>
        <v>50</v>
      </c>
      <c r="R75" s="90"/>
      <c r="S75" s="90"/>
      <c r="T75" s="90"/>
      <c r="U75" s="90"/>
    </row>
    <row r="76" spans="1:21" ht="15" customHeight="1" x14ac:dyDescent="0.25">
      <c r="A76" s="30"/>
      <c r="B76" s="52"/>
      <c r="C76" s="52" t="s">
        <v>263</v>
      </c>
      <c r="D76" s="52" t="s">
        <v>264</v>
      </c>
      <c r="E76" s="52"/>
      <c r="F76" s="52"/>
      <c r="G76" s="52"/>
      <c r="H76" s="52"/>
      <c r="I76" s="27"/>
      <c r="J76" s="31"/>
      <c r="M76" s="102" t="s">
        <v>282</v>
      </c>
      <c r="Q76" s="101">
        <f>H71</f>
        <v>75</v>
      </c>
    </row>
    <row r="77" spans="1:21" ht="15" customHeight="1" x14ac:dyDescent="0.25">
      <c r="A77" s="30"/>
      <c r="B77" s="52"/>
      <c r="C77" s="52"/>
      <c r="D77" s="52"/>
      <c r="E77" s="52"/>
      <c r="F77" s="52"/>
      <c r="G77" s="52"/>
      <c r="H77" s="52"/>
      <c r="I77" s="27"/>
      <c r="J77" s="31"/>
    </row>
    <row r="78" spans="1:21" ht="15" customHeight="1" x14ac:dyDescent="0.25">
      <c r="A78" s="30"/>
      <c r="B78" s="52"/>
      <c r="C78" s="104" t="s">
        <v>257</v>
      </c>
      <c r="D78" s="105" t="s">
        <v>258</v>
      </c>
      <c r="E78" s="106" t="s">
        <v>259</v>
      </c>
      <c r="F78" s="105" t="s">
        <v>265</v>
      </c>
      <c r="G78" s="104" t="s">
        <v>261</v>
      </c>
      <c r="H78" s="106" t="s">
        <v>263</v>
      </c>
      <c r="I78" s="27"/>
      <c r="J78" s="31"/>
      <c r="M78" s="90" t="s">
        <v>293</v>
      </c>
      <c r="N78" s="90"/>
      <c r="O78" s="90"/>
      <c r="P78" s="90"/>
      <c r="Q78" s="99">
        <f>H73</f>
        <v>455</v>
      </c>
      <c r="R78" s="100" t="s">
        <v>280</v>
      </c>
      <c r="S78" s="90"/>
      <c r="T78" s="90"/>
      <c r="U78" s="90"/>
    </row>
    <row r="79" spans="1:21" ht="15" customHeight="1" x14ac:dyDescent="0.25">
      <c r="A79" s="30"/>
      <c r="B79" s="52"/>
      <c r="C79" s="92">
        <v>185000</v>
      </c>
      <c r="D79" s="68">
        <v>43000</v>
      </c>
      <c r="E79" s="69">
        <v>38000</v>
      </c>
      <c r="F79" s="107">
        <v>0.22</v>
      </c>
      <c r="G79" s="92">
        <v>0</v>
      </c>
      <c r="H79" s="69">
        <v>0</v>
      </c>
      <c r="I79" s="27"/>
      <c r="J79" s="31"/>
      <c r="M79" s="101"/>
      <c r="N79" s="90"/>
      <c r="O79" s="90"/>
      <c r="P79" s="90"/>
      <c r="Q79" s="90"/>
      <c r="R79" s="90"/>
      <c r="S79" s="90"/>
      <c r="T79" s="90"/>
      <c r="U79" s="90"/>
    </row>
    <row r="80" spans="1:21" x14ac:dyDescent="0.25">
      <c r="A80" s="30"/>
      <c r="B80" s="52"/>
      <c r="C80" s="52"/>
      <c r="D80" s="52"/>
      <c r="E80" s="52"/>
      <c r="F80" s="52"/>
      <c r="G80" s="52"/>
      <c r="H80" s="52"/>
      <c r="I80" s="27"/>
      <c r="J80" s="31"/>
      <c r="M80" s="90" t="s">
        <v>294</v>
      </c>
      <c r="N80" s="90"/>
      <c r="O80" s="90"/>
      <c r="P80" s="90"/>
      <c r="Q80" s="99">
        <f>P190</f>
        <v>1407.8987999999999</v>
      </c>
      <c r="R80" s="100" t="s">
        <v>284</v>
      </c>
      <c r="S80" s="90"/>
      <c r="T80" s="90"/>
      <c r="U80" s="90"/>
    </row>
    <row r="81" spans="1:27" x14ac:dyDescent="0.25">
      <c r="A81" s="30"/>
      <c r="B81" s="52"/>
      <c r="C81" s="108"/>
      <c r="D81" s="109"/>
      <c r="E81" s="109"/>
      <c r="F81" s="110" t="s">
        <v>266</v>
      </c>
      <c r="G81" s="111"/>
      <c r="H81" s="52"/>
      <c r="I81" s="27"/>
      <c r="J81" s="31"/>
      <c r="M81" s="90"/>
      <c r="N81" s="90"/>
      <c r="O81" s="90"/>
      <c r="P81" s="90"/>
      <c r="Q81" s="90"/>
      <c r="R81" s="90"/>
      <c r="S81" s="90"/>
      <c r="T81" s="90"/>
      <c r="U81" s="90"/>
    </row>
    <row r="82" spans="1:27" x14ac:dyDescent="0.25">
      <c r="A82" s="30"/>
      <c r="B82" s="52"/>
      <c r="C82" s="93" t="s">
        <v>267</v>
      </c>
      <c r="D82" s="94"/>
      <c r="E82" s="94"/>
      <c r="F82" s="112">
        <v>2.5000000000000001E-2</v>
      </c>
      <c r="G82" s="113"/>
      <c r="H82" s="52"/>
      <c r="I82" s="27"/>
      <c r="J82" s="31"/>
      <c r="M82" s="90" t="s">
        <v>336</v>
      </c>
      <c r="N82" s="90"/>
      <c r="O82" s="90"/>
      <c r="P82" s="90"/>
      <c r="Q82" s="101">
        <f>P205</f>
        <v>582.51261048046581</v>
      </c>
      <c r="R82" s="100" t="s">
        <v>284</v>
      </c>
      <c r="S82" s="90"/>
      <c r="T82" s="90"/>
      <c r="U82" s="90"/>
    </row>
    <row r="83" spans="1:27" x14ac:dyDescent="0.25">
      <c r="A83" s="30"/>
      <c r="B83" s="52"/>
      <c r="C83" s="114" t="s">
        <v>268</v>
      </c>
      <c r="D83" s="52"/>
      <c r="E83" s="52"/>
      <c r="F83" s="115">
        <v>1.7500000000000002E-2</v>
      </c>
      <c r="G83" s="116"/>
      <c r="H83" s="52"/>
      <c r="I83" s="27"/>
      <c r="J83" s="31"/>
      <c r="M83" s="90" t="s">
        <v>283</v>
      </c>
      <c r="N83" s="90"/>
      <c r="O83" s="90"/>
      <c r="P83" s="90"/>
      <c r="Q83" s="91">
        <f>(Q63+Q70+Q78+Q80-Q82)/1.5</f>
        <v>3678.9214596796896</v>
      </c>
      <c r="R83" s="136" t="s">
        <v>113</v>
      </c>
      <c r="S83" s="90" t="s">
        <v>337</v>
      </c>
      <c r="T83" s="90"/>
      <c r="U83" s="90"/>
      <c r="V83" s="70" t="s">
        <v>338</v>
      </c>
    </row>
    <row r="84" spans="1:27" x14ac:dyDescent="0.25">
      <c r="A84" s="30"/>
      <c r="B84" s="52"/>
      <c r="C84" s="96" t="s">
        <v>269</v>
      </c>
      <c r="D84" s="97"/>
      <c r="E84" s="97"/>
      <c r="F84" s="117">
        <v>2.5000000000000001E-2</v>
      </c>
      <c r="G84" s="118"/>
      <c r="H84" s="52"/>
      <c r="I84" s="27"/>
      <c r="J84" s="31"/>
      <c r="M84" s="90"/>
      <c r="N84" s="90"/>
      <c r="O84" s="90"/>
      <c r="P84" s="90"/>
      <c r="Q84" s="90"/>
    </row>
    <row r="85" spans="1:27" x14ac:dyDescent="0.25">
      <c r="A85" s="30"/>
      <c r="B85" s="52"/>
      <c r="C85" s="93" t="s">
        <v>270</v>
      </c>
      <c r="D85" s="94"/>
      <c r="E85" s="94"/>
      <c r="F85" s="112">
        <v>7.4999999999999997E-3</v>
      </c>
      <c r="G85" s="113"/>
      <c r="H85" s="52"/>
      <c r="I85" s="27"/>
      <c r="J85" s="31"/>
      <c r="M85" s="283" t="s">
        <v>286</v>
      </c>
      <c r="N85" s="36"/>
      <c r="O85" s="36"/>
      <c r="P85" s="36"/>
      <c r="Q85" s="36"/>
      <c r="R85" s="36"/>
      <c r="S85" s="36"/>
      <c r="T85" s="36"/>
      <c r="U85" s="36"/>
      <c r="V85" s="36"/>
      <c r="W85" s="36"/>
      <c r="X85" s="36"/>
      <c r="Y85" s="36"/>
      <c r="Z85" s="36"/>
      <c r="AA85" s="36"/>
    </row>
    <row r="86" spans="1:27" x14ac:dyDescent="0.25">
      <c r="A86" s="30"/>
      <c r="B86" s="52"/>
      <c r="C86" s="96" t="s">
        <v>271</v>
      </c>
      <c r="D86" s="97"/>
      <c r="E86" s="97"/>
      <c r="F86" s="117">
        <v>7.4999999999999997E-3</v>
      </c>
      <c r="G86" s="118"/>
      <c r="H86" s="52"/>
      <c r="I86" s="27"/>
      <c r="J86" s="31"/>
    </row>
    <row r="87" spans="1:27" x14ac:dyDescent="0.25">
      <c r="A87" s="30"/>
      <c r="B87" s="52"/>
      <c r="C87" s="114" t="s">
        <v>272</v>
      </c>
      <c r="D87" s="52"/>
      <c r="E87" s="52"/>
      <c r="F87" s="115">
        <v>2.5000000000000001E-2</v>
      </c>
      <c r="G87" s="116"/>
      <c r="H87" s="52"/>
      <c r="I87" s="27"/>
      <c r="J87" s="31"/>
      <c r="M87" s="161" t="s">
        <v>686</v>
      </c>
      <c r="N87" s="291"/>
    </row>
    <row r="88" spans="1:27" x14ac:dyDescent="0.25">
      <c r="A88" s="30"/>
      <c r="B88" s="52"/>
      <c r="C88" s="227" t="s">
        <v>273</v>
      </c>
      <c r="D88" s="97"/>
      <c r="E88" s="97"/>
      <c r="F88" s="117">
        <v>8.5000000000000006E-2</v>
      </c>
      <c r="G88" s="118"/>
      <c r="H88" s="52"/>
      <c r="I88" s="27"/>
      <c r="J88" s="31"/>
    </row>
    <row r="89" spans="1:27" x14ac:dyDescent="0.25">
      <c r="A89" s="30"/>
      <c r="B89" s="52"/>
      <c r="C89" s="52"/>
      <c r="D89" s="52"/>
      <c r="E89" s="52"/>
      <c r="F89" s="52"/>
      <c r="G89" s="52"/>
      <c r="H89" s="52"/>
      <c r="I89" s="27"/>
      <c r="J89" s="31"/>
      <c r="N89" s="120" t="s">
        <v>666</v>
      </c>
      <c r="O89" s="121"/>
      <c r="P89" s="121"/>
      <c r="Q89" s="122"/>
      <c r="R89" s="57" t="s">
        <v>295</v>
      </c>
      <c r="S89" s="125" t="s">
        <v>339</v>
      </c>
      <c r="V89"/>
      <c r="W89"/>
      <c r="X89"/>
      <c r="Y89"/>
    </row>
    <row r="90" spans="1:27" x14ac:dyDescent="0.25">
      <c r="A90" s="30"/>
      <c r="B90" s="52"/>
      <c r="C90" s="119" t="s">
        <v>274</v>
      </c>
      <c r="D90" s="52"/>
      <c r="E90" s="52"/>
      <c r="F90" s="52"/>
      <c r="G90" s="52"/>
      <c r="H90" s="52"/>
      <c r="I90" s="27"/>
      <c r="J90" s="31"/>
      <c r="N90" s="102"/>
      <c r="O90" t="s">
        <v>652</v>
      </c>
      <c r="P90"/>
      <c r="Q90"/>
      <c r="R90"/>
      <c r="S90"/>
      <c r="T90"/>
      <c r="U90"/>
      <c r="V90"/>
      <c r="W90"/>
      <c r="X90" s="102"/>
      <c r="Y90" s="102"/>
      <c r="AA90"/>
    </row>
    <row r="91" spans="1:27" x14ac:dyDescent="0.25">
      <c r="A91" s="30"/>
      <c r="B91" s="52"/>
      <c r="C91" s="119" t="s">
        <v>275</v>
      </c>
      <c r="D91" s="52"/>
      <c r="E91" s="52"/>
      <c r="F91" s="52"/>
      <c r="G91" s="52"/>
      <c r="H91" s="52"/>
      <c r="I91" s="27"/>
      <c r="J91" s="31"/>
      <c r="N91" s="102"/>
      <c r="O91" s="142" t="s">
        <v>113</v>
      </c>
      <c r="P91" t="s">
        <v>653</v>
      </c>
      <c r="Q91" s="142" t="s">
        <v>128</v>
      </c>
      <c r="R91" s="57">
        <v>1.1000000000000001</v>
      </c>
      <c r="S91" s="142" t="s">
        <v>128</v>
      </c>
      <c r="T91" t="s">
        <v>654</v>
      </c>
      <c r="U91"/>
      <c r="V91"/>
      <c r="W91"/>
      <c r="X91" s="102"/>
      <c r="Y91" s="102"/>
      <c r="AA91" s="102"/>
    </row>
    <row r="92" spans="1:27" x14ac:dyDescent="0.25">
      <c r="A92" s="30"/>
      <c r="B92" s="52"/>
      <c r="C92" s="52"/>
      <c r="D92" s="52"/>
      <c r="E92" s="52"/>
      <c r="F92" s="52"/>
      <c r="G92" s="52"/>
      <c r="H92" s="52"/>
      <c r="I92" s="52"/>
      <c r="J92" s="31"/>
      <c r="N92" s="102"/>
      <c r="O92" s="142" t="s">
        <v>113</v>
      </c>
      <c r="P92" s="266">
        <f>I45</f>
        <v>0.13</v>
      </c>
      <c r="Q92" s="142" t="s">
        <v>128</v>
      </c>
      <c r="R92" s="57">
        <v>1.1000000000000001</v>
      </c>
      <c r="S92" s="142" t="s">
        <v>128</v>
      </c>
      <c r="T92" s="251" t="str">
        <f>"[ (" &amp; I41 &amp; " - " &amp; I43 &amp;")"</f>
        <v>[ (10100 - 707)</v>
      </c>
      <c r="U92" s="102"/>
      <c r="V92" s="142" t="s">
        <v>250</v>
      </c>
      <c r="W92" s="102" t="str">
        <f>"(" &amp; I42 &amp; " - " &amp; I44 &amp; ") ]"</f>
        <v>(1700 - 204) ]</v>
      </c>
      <c r="X92"/>
      <c r="Y92" s="102"/>
      <c r="AA92" s="102"/>
    </row>
    <row r="93" spans="1:27" x14ac:dyDescent="0.25">
      <c r="A93" s="35" t="s">
        <v>4</v>
      </c>
      <c r="B93" s="52" t="s">
        <v>277</v>
      </c>
      <c r="C93" s="52"/>
      <c r="D93" s="52"/>
      <c r="E93" s="52"/>
      <c r="F93" s="52"/>
      <c r="G93" s="52"/>
      <c r="H93" s="52"/>
      <c r="I93" s="52"/>
      <c r="J93" s="31"/>
      <c r="N93" s="102"/>
      <c r="O93" s="142" t="s">
        <v>113</v>
      </c>
      <c r="P93" s="267">
        <f>P92 * R92 * ( I41-I43 - (I42-I44) )</f>
        <v>1129.2710000000002</v>
      </c>
      <c r="Q93" s="102"/>
      <c r="R93" s="102"/>
      <c r="S93" s="102"/>
      <c r="T93" s="102"/>
      <c r="U93" s="102"/>
      <c r="V93"/>
      <c r="W93" s="102"/>
      <c r="X93" s="102"/>
      <c r="Y93" s="102"/>
      <c r="AA93" s="102"/>
    </row>
    <row r="94" spans="1:27" ht="15.75" thickBot="1" x14ac:dyDescent="0.3">
      <c r="A94" s="9">
        <f>INDEX('Point Grid'!$C$8:$I$35,MATCH($A$1,'Point Grid'!$A$8:$A$35,0),MATCH(A93,'Point Grid'!$C$7:$I$7,0))</f>
        <v>0.5</v>
      </c>
      <c r="B94" s="52" t="s">
        <v>276</v>
      </c>
      <c r="C94" s="52"/>
      <c r="D94" s="52"/>
      <c r="E94" s="52"/>
      <c r="F94" s="52"/>
      <c r="G94" s="52"/>
      <c r="H94" s="52"/>
      <c r="I94" s="52"/>
      <c r="J94" s="31"/>
      <c r="N94" s="102"/>
      <c r="O94" s="102"/>
      <c r="P94" s="102"/>
      <c r="Q94" s="102"/>
      <c r="R94" s="102"/>
      <c r="S94" s="102"/>
      <c r="T94" s="102"/>
      <c r="U94" s="102"/>
      <c r="V94" s="102"/>
      <c r="W94" s="102"/>
      <c r="X94" s="102"/>
      <c r="Y94" s="102"/>
      <c r="AA94" s="102"/>
    </row>
    <row r="95" spans="1:27" ht="15.75" thickBot="1" x14ac:dyDescent="0.3">
      <c r="A95" s="5"/>
      <c r="B95" s="52"/>
      <c r="C95" s="52"/>
      <c r="D95" s="52"/>
      <c r="E95" s="52"/>
      <c r="F95" s="52"/>
      <c r="G95" s="52"/>
      <c r="H95" s="52"/>
      <c r="I95" s="52"/>
      <c r="J95" s="31"/>
      <c r="K95" s="282"/>
      <c r="N95"/>
      <c r="O95"/>
      <c r="P95"/>
      <c r="Q95"/>
      <c r="R95"/>
      <c r="S95"/>
      <c r="T95"/>
      <c r="U95"/>
      <c r="V95"/>
      <c r="W95"/>
      <c r="X95"/>
      <c r="Y95"/>
      <c r="AA95" s="102"/>
    </row>
    <row r="96" spans="1:27" x14ac:dyDescent="0.25">
      <c r="A96" s="30"/>
      <c r="B96" s="52"/>
      <c r="C96" s="52"/>
      <c r="D96" s="52"/>
      <c r="E96" s="52"/>
      <c r="F96" s="52"/>
      <c r="G96" s="52"/>
      <c r="H96" s="52"/>
      <c r="I96" s="52"/>
      <c r="J96" s="31"/>
      <c r="N96" s="120" t="s">
        <v>667</v>
      </c>
      <c r="O96" s="121"/>
      <c r="P96" s="121"/>
      <c r="Q96" s="122"/>
      <c r="R96" s="57" t="s">
        <v>295</v>
      </c>
      <c r="S96" s="125" t="s">
        <v>339</v>
      </c>
      <c r="V96" s="102"/>
      <c r="W96" s="102"/>
      <c r="X96" s="102"/>
      <c r="Y96" s="102"/>
      <c r="AA96" s="102"/>
    </row>
    <row r="97" spans="1:27" ht="15.75" thickBot="1" x14ac:dyDescent="0.3">
      <c r="A97" s="37"/>
      <c r="B97" s="37"/>
      <c r="C97" s="37"/>
      <c r="D97" s="37"/>
      <c r="E97" s="37"/>
      <c r="F97" s="37"/>
      <c r="G97" s="37"/>
      <c r="H97" s="37"/>
      <c r="I97" s="37"/>
      <c r="J97" s="51"/>
      <c r="N97" s="102"/>
      <c r="O97" s="102" t="s">
        <v>656</v>
      </c>
      <c r="P97" s="102"/>
      <c r="Q97" s="102"/>
      <c r="R97" s="102"/>
      <c r="S97" s="102"/>
      <c r="T97" s="102"/>
      <c r="U97" s="102"/>
      <c r="V97" s="102"/>
      <c r="W97" s="102"/>
      <c r="X97" s="102"/>
      <c r="Y97" s="102"/>
      <c r="AA97" s="102"/>
    </row>
    <row r="98" spans="1:27" x14ac:dyDescent="0.25">
      <c r="N98" s="102"/>
      <c r="O98" s="142" t="s">
        <v>113</v>
      </c>
      <c r="P98" t="s">
        <v>653</v>
      </c>
      <c r="Q98" s="142" t="s">
        <v>128</v>
      </c>
      <c r="R98" s="102" t="s">
        <v>657</v>
      </c>
      <c r="S98" s="102"/>
      <c r="T98" s="102"/>
      <c r="U98" s="102"/>
      <c r="V98" s="102"/>
      <c r="W98" s="102"/>
      <c r="X98" s="102"/>
      <c r="Y98" s="102"/>
      <c r="AA98" s="102"/>
    </row>
    <row r="99" spans="1:27" x14ac:dyDescent="0.25">
      <c r="N99" s="102"/>
      <c r="O99" s="142" t="s">
        <v>113</v>
      </c>
      <c r="P99" s="266">
        <f>I50</f>
        <v>0.19</v>
      </c>
      <c r="Q99" s="142" t="s">
        <v>128</v>
      </c>
      <c r="R99" s="102" t="str">
        <f>"MAX [ ( " &amp; I47 &amp; " - " &amp; I48 &amp; ") , 30% x" &amp; I49 &amp; ") ]"</f>
        <v>MAX [ ( 1500 - 600) , 30% x14800) ]</v>
      </c>
      <c r="S99" s="102"/>
      <c r="T99" s="102"/>
      <c r="U99" s="102"/>
      <c r="V99" s="102"/>
      <c r="W99" s="102"/>
      <c r="X99" s="102"/>
      <c r="Y99" s="102"/>
      <c r="AA99" s="102"/>
    </row>
    <row r="100" spans="1:27" x14ac:dyDescent="0.25">
      <c r="K100" s="282"/>
      <c r="N100" s="102"/>
      <c r="O100" s="142" t="s">
        <v>113</v>
      </c>
      <c r="P100" s="266">
        <f>I50</f>
        <v>0.19</v>
      </c>
      <c r="Q100" s="142" t="s">
        <v>128</v>
      </c>
      <c r="R100" s="102" t="str">
        <f>"MAX [ " &amp; I47-I48 &amp; " , " &amp; 0.3*I49 &amp; " ]"</f>
        <v>MAX [ 900 , 4440 ]</v>
      </c>
      <c r="S100" s="102"/>
      <c r="T100" s="102"/>
      <c r="U100" s="102"/>
      <c r="V100" s="102"/>
      <c r="W100" s="102"/>
      <c r="X100" s="102"/>
      <c r="Y100" s="102"/>
      <c r="AA100" s="102"/>
    </row>
    <row r="101" spans="1:27" x14ac:dyDescent="0.25">
      <c r="N101" s="102"/>
      <c r="O101" s="142" t="s">
        <v>113</v>
      </c>
      <c r="P101" s="269">
        <f>P100*MAX(I47-I48,0.3*I49)</f>
        <v>843.6</v>
      </c>
      <c r="Q101" s="102"/>
      <c r="R101" s="102"/>
      <c r="S101" s="102"/>
      <c r="T101" s="102"/>
      <c r="U101" s="102"/>
      <c r="V101" s="102"/>
      <c r="W101" s="102"/>
      <c r="X101" s="102"/>
      <c r="Y101" s="102"/>
      <c r="AA101" s="102"/>
    </row>
    <row r="102" spans="1:27" x14ac:dyDescent="0.25">
      <c r="N102" s="102"/>
      <c r="O102" s="102"/>
      <c r="P102" s="102"/>
      <c r="Q102" s="102"/>
      <c r="R102" s="102"/>
      <c r="S102" s="102"/>
      <c r="T102" s="102"/>
      <c r="U102" s="102"/>
      <c r="V102" s="102"/>
      <c r="W102" s="102"/>
      <c r="X102" s="102"/>
      <c r="Y102" s="102"/>
      <c r="AA102" s="102"/>
    </row>
    <row r="103" spans="1:27" x14ac:dyDescent="0.25">
      <c r="N103" s="102"/>
      <c r="O103" s="102"/>
      <c r="P103" s="102"/>
      <c r="Q103" s="102"/>
      <c r="R103" s="102"/>
      <c r="S103" s="102"/>
      <c r="T103" s="102"/>
      <c r="U103" s="102"/>
      <c r="V103" s="102"/>
      <c r="W103" s="102"/>
      <c r="X103" s="102"/>
      <c r="Y103" s="102"/>
      <c r="AA103" s="102"/>
    </row>
    <row r="104" spans="1:27" x14ac:dyDescent="0.25">
      <c r="N104" s="276" t="s">
        <v>658</v>
      </c>
      <c r="O104" s="277"/>
      <c r="P104" s="278"/>
      <c r="Q104" s="142" t="s">
        <v>113</v>
      </c>
      <c r="R104" s="279">
        <f>I52</f>
        <v>520</v>
      </c>
      <c r="S104" s="270" t="s">
        <v>295</v>
      </c>
      <c r="T104" s="103" t="s">
        <v>659</v>
      </c>
      <c r="U104" s="102"/>
      <c r="V104" s="102"/>
      <c r="W104" s="102"/>
      <c r="X104" s="102"/>
      <c r="Y104" s="102"/>
      <c r="AA104" s="102"/>
    </row>
    <row r="105" spans="1:27" x14ac:dyDescent="0.25">
      <c r="N105" s="102"/>
      <c r="O105" s="102"/>
      <c r="P105" s="102"/>
      <c r="Q105" s="102"/>
      <c r="R105" s="280"/>
      <c r="S105" s="102"/>
      <c r="T105" s="102"/>
      <c r="U105" s="102"/>
      <c r="V105" s="102"/>
      <c r="W105" s="102"/>
      <c r="X105" s="102"/>
      <c r="Y105" s="102"/>
      <c r="AA105" s="102"/>
    </row>
    <row r="106" spans="1:27" x14ac:dyDescent="0.25">
      <c r="N106" s="276" t="s">
        <v>660</v>
      </c>
      <c r="O106" s="277"/>
      <c r="P106" s="278"/>
      <c r="Q106" s="142" t="s">
        <v>113</v>
      </c>
      <c r="R106" s="281">
        <f>I53</f>
        <v>270</v>
      </c>
      <c r="S106" s="270" t="s">
        <v>295</v>
      </c>
      <c r="T106" s="103" t="s">
        <v>659</v>
      </c>
      <c r="U106" s="102"/>
      <c r="V106" s="102"/>
      <c r="W106" s="102"/>
      <c r="X106" s="102"/>
      <c r="Y106" s="102"/>
      <c r="AA106" s="102"/>
    </row>
    <row r="107" spans="1:27" x14ac:dyDescent="0.25">
      <c r="N107" s="102"/>
      <c r="O107" s="102"/>
      <c r="P107" s="102"/>
      <c r="Q107" s="102"/>
      <c r="R107" s="102"/>
      <c r="S107" s="102"/>
      <c r="T107" s="102"/>
      <c r="U107" s="102"/>
      <c r="V107" s="102"/>
      <c r="W107" s="102"/>
      <c r="X107" s="102"/>
      <c r="Y107" s="102"/>
      <c r="AA107" s="102"/>
    </row>
    <row r="108" spans="1:27" x14ac:dyDescent="0.25">
      <c r="N108" s="120" t="s">
        <v>631</v>
      </c>
      <c r="O108" s="121"/>
      <c r="P108" s="121"/>
      <c r="Q108" s="122"/>
      <c r="R108" s="57" t="s">
        <v>295</v>
      </c>
      <c r="S108" s="125" t="s">
        <v>339</v>
      </c>
      <c r="V108" s="102"/>
      <c r="W108" s="102"/>
      <c r="X108" s="102"/>
      <c r="Y108" s="102"/>
      <c r="AA108" s="102"/>
    </row>
    <row r="109" spans="1:27" x14ac:dyDescent="0.25">
      <c r="N109" s="102"/>
      <c r="O109" s="102" t="s">
        <v>662</v>
      </c>
      <c r="P109" s="102"/>
      <c r="Q109" s="102"/>
      <c r="R109" s="102"/>
      <c r="S109" s="102"/>
      <c r="T109" s="102"/>
      <c r="U109" s="102"/>
      <c r="V109" s="102"/>
      <c r="W109" s="102"/>
      <c r="X109" s="102"/>
      <c r="Y109" s="102"/>
      <c r="AA109" s="102"/>
    </row>
    <row r="110" spans="1:27" x14ac:dyDescent="0.25">
      <c r="N110" s="102"/>
      <c r="O110" s="142" t="s">
        <v>113</v>
      </c>
      <c r="P110" s="273">
        <v>1.25</v>
      </c>
      <c r="Q110" s="142" t="s">
        <v>128</v>
      </c>
      <c r="R110" s="102" t="s">
        <v>663</v>
      </c>
      <c r="S110" s="102"/>
      <c r="T110" s="102"/>
      <c r="U110" s="102"/>
      <c r="V110" s="102"/>
      <c r="W110" s="102"/>
      <c r="X110" s="102"/>
      <c r="Y110" s="102"/>
      <c r="AA110" s="102"/>
    </row>
    <row r="111" spans="1:27" x14ac:dyDescent="0.25">
      <c r="N111" s="102"/>
      <c r="O111" s="142" t="s">
        <v>113</v>
      </c>
      <c r="P111" s="273">
        <v>1.25</v>
      </c>
      <c r="Q111" s="142" t="s">
        <v>128</v>
      </c>
      <c r="R111" s="142">
        <f>I55-I56-I57</f>
        <v>158.69999999999999</v>
      </c>
      <c r="S111" s="102"/>
      <c r="T111" s="102"/>
      <c r="U111" s="102"/>
      <c r="V111" s="102"/>
      <c r="W111" s="102"/>
      <c r="X111" s="102"/>
      <c r="Y111" s="102"/>
      <c r="AA111" s="102"/>
    </row>
    <row r="112" spans="1:27" x14ac:dyDescent="0.25">
      <c r="N112" s="102"/>
      <c r="O112" s="142" t="s">
        <v>113</v>
      </c>
      <c r="P112" s="272">
        <f>P111*R111</f>
        <v>198.375</v>
      </c>
      <c r="Q112" s="102"/>
      <c r="R112" s="102"/>
      <c r="S112" s="102"/>
      <c r="T112" s="102"/>
      <c r="U112" s="102"/>
      <c r="V112" s="102"/>
      <c r="W112" s="102"/>
      <c r="X112" s="102"/>
      <c r="Y112" s="102"/>
      <c r="AA112" s="102"/>
    </row>
    <row r="113" spans="13:27" x14ac:dyDescent="0.25">
      <c r="N113" s="102"/>
      <c r="O113" s="102"/>
      <c r="P113" s="102"/>
      <c r="Q113" s="102"/>
      <c r="R113" s="102"/>
      <c r="S113" s="102"/>
      <c r="T113" s="102"/>
      <c r="U113" s="102"/>
      <c r="V113" s="102"/>
      <c r="W113" s="102"/>
      <c r="X113" s="102"/>
      <c r="Y113" s="102"/>
      <c r="AA113" s="102"/>
    </row>
    <row r="114" spans="13:27" x14ac:dyDescent="0.25">
      <c r="N114" s="102"/>
      <c r="O114" s="102"/>
      <c r="P114" s="102"/>
      <c r="Q114" s="102"/>
      <c r="R114" s="102"/>
      <c r="S114" s="102"/>
      <c r="T114" s="102"/>
      <c r="U114" s="102"/>
      <c r="V114" s="102"/>
      <c r="W114" s="102"/>
      <c r="X114" s="102"/>
      <c r="Y114" s="102"/>
      <c r="AA114" s="102"/>
    </row>
    <row r="115" spans="13:27" x14ac:dyDescent="0.25">
      <c r="N115" s="260" t="s">
        <v>664</v>
      </c>
      <c r="O115" s="228"/>
      <c r="P115" s="228"/>
      <c r="Q115" s="228"/>
      <c r="R115" s="228"/>
      <c r="S115" s="228"/>
      <c r="T115" s="228"/>
      <c r="U115" s="228"/>
      <c r="V115" s="228"/>
      <c r="W115" s="261"/>
      <c r="X115" s="102"/>
      <c r="Y115" s="102"/>
      <c r="AA115" s="102"/>
    </row>
    <row r="116" spans="13:27" x14ac:dyDescent="0.25">
      <c r="N116" s="102"/>
      <c r="O116" s="102"/>
      <c r="P116" s="102"/>
      <c r="Q116" s="102"/>
      <c r="R116" s="102"/>
      <c r="S116" s="102"/>
      <c r="T116" s="102"/>
      <c r="U116" s="102"/>
      <c r="V116" s="102"/>
      <c r="W116" s="102"/>
      <c r="X116" s="102"/>
      <c r="Y116" s="102"/>
      <c r="AA116" s="102"/>
    </row>
    <row r="117" spans="13:27" x14ac:dyDescent="0.25">
      <c r="N117" s="102" t="s">
        <v>651</v>
      </c>
      <c r="O117" s="102"/>
      <c r="P117" s="102"/>
      <c r="Q117" s="274">
        <f>P93</f>
        <v>1129.2710000000002</v>
      </c>
      <c r="R117" s="102"/>
      <c r="S117" s="102"/>
      <c r="T117" s="102"/>
      <c r="U117" s="102"/>
      <c r="V117" s="102"/>
      <c r="W117" s="102"/>
      <c r="X117" s="102"/>
      <c r="Y117" s="102"/>
      <c r="AA117" s="102"/>
    </row>
    <row r="118" spans="13:27" x14ac:dyDescent="0.25">
      <c r="N118" s="102" t="s">
        <v>655</v>
      </c>
      <c r="O118" s="102"/>
      <c r="P118" s="102"/>
      <c r="Q118" s="274">
        <f>P101</f>
        <v>843.6</v>
      </c>
      <c r="R118" s="102"/>
      <c r="S118" s="102"/>
      <c r="T118" s="102"/>
      <c r="U118" s="102"/>
      <c r="V118" s="102"/>
      <c r="W118" s="102"/>
      <c r="X118" s="102"/>
      <c r="Y118" s="102"/>
      <c r="AA118" s="102"/>
    </row>
    <row r="119" spans="13:27" x14ac:dyDescent="0.25">
      <c r="N119" s="102" t="s">
        <v>658</v>
      </c>
      <c r="O119" s="102"/>
      <c r="P119" s="102"/>
      <c r="Q119" s="274">
        <f>R104</f>
        <v>520</v>
      </c>
      <c r="R119" s="102"/>
      <c r="S119" s="102"/>
      <c r="T119" s="102"/>
      <c r="U119" s="102"/>
      <c r="V119" s="102"/>
      <c r="W119" s="102"/>
      <c r="X119" s="102"/>
      <c r="Y119" s="102"/>
      <c r="AA119" s="102"/>
    </row>
    <row r="120" spans="13:27" x14ac:dyDescent="0.25">
      <c r="N120" s="102" t="s">
        <v>660</v>
      </c>
      <c r="O120" s="102"/>
      <c r="P120" s="102"/>
      <c r="Q120" s="274">
        <f>R106</f>
        <v>270</v>
      </c>
      <c r="R120" s="102"/>
      <c r="S120" s="102"/>
      <c r="T120" s="102"/>
      <c r="U120" s="102"/>
      <c r="V120" s="102"/>
      <c r="W120" s="102"/>
      <c r="X120" s="102"/>
      <c r="Y120" s="102"/>
      <c r="AA120" s="102"/>
    </row>
    <row r="121" spans="13:27" x14ac:dyDescent="0.25">
      <c r="N121" s="102" t="s">
        <v>661</v>
      </c>
      <c r="O121" s="102"/>
      <c r="P121" s="102"/>
      <c r="Q121" s="274">
        <f>P112</f>
        <v>198.375</v>
      </c>
      <c r="R121" s="102"/>
      <c r="S121" s="102"/>
      <c r="T121" s="102"/>
      <c r="U121" s="102"/>
      <c r="V121" s="102"/>
      <c r="W121" s="102"/>
      <c r="X121" s="102"/>
      <c r="Y121" s="102"/>
      <c r="AA121" s="102"/>
    </row>
    <row r="122" spans="13:27" x14ac:dyDescent="0.25">
      <c r="N122" s="102"/>
      <c r="O122" s="102"/>
      <c r="P122" s="102"/>
      <c r="Q122" s="275">
        <f>SUM(Q117:Q121)</f>
        <v>2961.2460000000001</v>
      </c>
      <c r="R122" s="270" t="s">
        <v>295</v>
      </c>
      <c r="S122" s="103" t="s">
        <v>665</v>
      </c>
      <c r="T122" s="102"/>
      <c r="U122" s="102"/>
      <c r="V122" s="102"/>
      <c r="W122" s="102"/>
      <c r="X122" s="102"/>
      <c r="Y122" s="102"/>
      <c r="AA122" s="102"/>
    </row>
    <row r="123" spans="13:27" x14ac:dyDescent="0.25">
      <c r="Z123" s="102"/>
    </row>
    <row r="124" spans="13:27" x14ac:dyDescent="0.25">
      <c r="M124" s="161" t="s">
        <v>687</v>
      </c>
      <c r="N124" s="162"/>
      <c r="O124" s="162"/>
      <c r="P124" s="162"/>
      <c r="Q124" s="162"/>
      <c r="R124" s="291"/>
    </row>
    <row r="126" spans="13:27" x14ac:dyDescent="0.25">
      <c r="N126" s="241" t="s">
        <v>405</v>
      </c>
      <c r="O126" t="s">
        <v>671</v>
      </c>
      <c r="P126"/>
      <c r="Q126"/>
      <c r="R126"/>
      <c r="S126"/>
      <c r="T126"/>
      <c r="U126"/>
      <c r="V126"/>
      <c r="W126"/>
    </row>
    <row r="127" spans="13:27" x14ac:dyDescent="0.25">
      <c r="N127"/>
      <c r="O127"/>
      <c r="P127"/>
      <c r="Q127"/>
      <c r="R127"/>
      <c r="S127"/>
      <c r="T127"/>
      <c r="U127"/>
      <c r="V127"/>
      <c r="W127"/>
    </row>
    <row r="128" spans="13:27" x14ac:dyDescent="0.25">
      <c r="N128" s="102"/>
      <c r="O128" s="142" t="s">
        <v>119</v>
      </c>
      <c r="P128" s="142" t="s">
        <v>113</v>
      </c>
      <c r="Q128" s="102" t="s">
        <v>672</v>
      </c>
      <c r="R128" s="102"/>
      <c r="S128" s="142" t="s">
        <v>128</v>
      </c>
      <c r="T128" s="142" t="s">
        <v>673</v>
      </c>
      <c r="U128" s="142" t="s">
        <v>128</v>
      </c>
      <c r="V128" s="102" t="s">
        <v>674</v>
      </c>
      <c r="W128" s="102"/>
    </row>
    <row r="129" spans="14:32" x14ac:dyDescent="0.25">
      <c r="N129" s="102"/>
      <c r="O129" s="102"/>
      <c r="P129" s="142" t="s">
        <v>113</v>
      </c>
      <c r="Q129" s="284">
        <f>H62</f>
        <v>2.2000000000000002</v>
      </c>
      <c r="R129" s="102"/>
      <c r="S129" s="142" t="s">
        <v>128</v>
      </c>
      <c r="T129" s="285">
        <v>1.2500000000000001E-2</v>
      </c>
      <c r="U129" s="142" t="s">
        <v>128</v>
      </c>
      <c r="V129" s="142">
        <f>G62</f>
        <v>71000</v>
      </c>
      <c r="W129" s="102"/>
    </row>
    <row r="130" spans="14:32" x14ac:dyDescent="0.25">
      <c r="N130" s="102"/>
      <c r="O130" s="102"/>
      <c r="P130" s="142" t="s">
        <v>113</v>
      </c>
      <c r="Q130" s="286">
        <f>Q129*T129*V129</f>
        <v>1952.5000000000002</v>
      </c>
      <c r="R130" s="102"/>
      <c r="S130" s="102"/>
      <c r="T130" s="102"/>
      <c r="U130" s="102"/>
      <c r="V130" s="102"/>
      <c r="W130" s="102"/>
    </row>
    <row r="131" spans="14:32" x14ac:dyDescent="0.25">
      <c r="N131" s="102"/>
      <c r="O131" s="102"/>
      <c r="P131" s="102"/>
      <c r="Q131" s="102"/>
      <c r="R131" s="102"/>
      <c r="S131" s="102"/>
      <c r="T131" s="102"/>
      <c r="U131" s="102"/>
      <c r="V131" s="102"/>
      <c r="W131" s="102"/>
    </row>
    <row r="132" spans="14:32" x14ac:dyDescent="0.25">
      <c r="N132" s="102"/>
      <c r="O132" s="102"/>
      <c r="P132" s="102"/>
      <c r="Q132" s="102"/>
      <c r="R132" s="102"/>
      <c r="S132" s="102"/>
      <c r="T132" s="102"/>
      <c r="U132" s="102"/>
      <c r="V132" s="102"/>
      <c r="W132" s="102"/>
    </row>
    <row r="133" spans="14:32" x14ac:dyDescent="0.25">
      <c r="N133" s="287" t="s">
        <v>406</v>
      </c>
      <c r="O133" t="s">
        <v>675</v>
      </c>
      <c r="P133"/>
      <c r="Q133"/>
      <c r="R133"/>
      <c r="S133"/>
      <c r="T133"/>
      <c r="U133"/>
      <c r="V133"/>
      <c r="W133" s="102"/>
    </row>
    <row r="134" spans="14:32" x14ac:dyDescent="0.25">
      <c r="N134"/>
      <c r="O134"/>
      <c r="P134"/>
      <c r="Q134"/>
      <c r="R134"/>
      <c r="S134"/>
      <c r="T134"/>
      <c r="U134"/>
      <c r="V134"/>
      <c r="W134" s="102"/>
    </row>
    <row r="135" spans="14:32" x14ac:dyDescent="0.25">
      <c r="N135" s="102"/>
      <c r="O135" s="142" t="s">
        <v>138</v>
      </c>
      <c r="P135" s="142" t="s">
        <v>113</v>
      </c>
      <c r="Q135" s="102" t="s">
        <v>676</v>
      </c>
      <c r="R135" s="102"/>
      <c r="S135" s="142" t="s">
        <v>128</v>
      </c>
      <c r="T135" s="142" t="s">
        <v>673</v>
      </c>
      <c r="U135" s="142" t="s">
        <v>128</v>
      </c>
      <c r="V135" s="102" t="s">
        <v>677</v>
      </c>
      <c r="W135" s="102"/>
    </row>
    <row r="136" spans="14:32" x14ac:dyDescent="0.25">
      <c r="N136" s="102"/>
      <c r="O136" s="102"/>
      <c r="P136" s="142" t="s">
        <v>113</v>
      </c>
      <c r="Q136" s="284">
        <f>H63</f>
        <v>1.8</v>
      </c>
      <c r="R136" s="102"/>
      <c r="S136" s="142" t="s">
        <v>128</v>
      </c>
      <c r="T136" s="285">
        <v>1.2500000000000001E-2</v>
      </c>
      <c r="U136" s="142" t="s">
        <v>128</v>
      </c>
      <c r="V136" s="142">
        <f>G63</f>
        <v>66700</v>
      </c>
      <c r="W136" s="102"/>
    </row>
    <row r="137" spans="14:32" x14ac:dyDescent="0.25">
      <c r="N137" s="102"/>
      <c r="O137" s="102"/>
      <c r="P137" s="142" t="s">
        <v>113</v>
      </c>
      <c r="Q137" s="288">
        <f>Q136*T136*V136</f>
        <v>1500.7500000000002</v>
      </c>
      <c r="R137" s="102"/>
      <c r="S137" s="102"/>
      <c r="T137" s="102"/>
      <c r="U137" s="102"/>
      <c r="V137" s="102"/>
      <c r="W137" s="102"/>
    </row>
    <row r="138" spans="14:32" x14ac:dyDescent="0.25">
      <c r="N138" s="102"/>
      <c r="O138" s="102"/>
      <c r="P138" s="102"/>
      <c r="Q138" s="102"/>
      <c r="R138" s="102"/>
      <c r="S138" s="102"/>
      <c r="T138" s="102"/>
      <c r="U138" s="102"/>
      <c r="V138" s="102"/>
      <c r="W138" s="102"/>
    </row>
    <row r="139" spans="14:32" x14ac:dyDescent="0.25">
      <c r="N139" s="102"/>
      <c r="O139" s="102"/>
      <c r="P139" s="102"/>
      <c r="Q139" s="102"/>
      <c r="R139" s="102"/>
      <c r="S139" s="102"/>
      <c r="T139" s="102"/>
      <c r="U139" s="102"/>
      <c r="V139" s="102"/>
      <c r="W139" s="102"/>
    </row>
    <row r="140" spans="14:32" x14ac:dyDescent="0.25">
      <c r="N140" s="250" t="s">
        <v>678</v>
      </c>
      <c r="O140" s="102" t="s">
        <v>679</v>
      </c>
      <c r="P140" s="102"/>
      <c r="Q140" s="102"/>
      <c r="R140" s="102"/>
      <c r="S140" s="102"/>
      <c r="T140" s="102"/>
      <c r="U140" s="102"/>
      <c r="V140" s="102"/>
      <c r="W140" s="102"/>
    </row>
    <row r="141" spans="14:32" x14ac:dyDescent="0.25">
      <c r="N141" s="102"/>
      <c r="O141" s="102"/>
      <c r="P141" s="102"/>
      <c r="Q141" s="102"/>
      <c r="R141" s="102"/>
      <c r="S141" s="102"/>
      <c r="T141" s="102"/>
      <c r="U141" s="102"/>
      <c r="V141" s="102"/>
      <c r="W141" s="102"/>
    </row>
    <row r="142" spans="14:32" x14ac:dyDescent="0.25">
      <c r="N142" s="102"/>
      <c r="O142" s="142" t="s">
        <v>680</v>
      </c>
      <c r="P142" s="142" t="s">
        <v>113</v>
      </c>
      <c r="Q142" s="142" t="s">
        <v>681</v>
      </c>
      <c r="R142" s="142" t="s">
        <v>119</v>
      </c>
      <c r="S142" s="142" t="s">
        <v>250</v>
      </c>
      <c r="T142" s="142" t="s">
        <v>138</v>
      </c>
      <c r="U142" s="142" t="s">
        <v>681</v>
      </c>
      <c r="V142" s="102"/>
      <c r="W142" s="102"/>
      <c r="AD142" s="57"/>
      <c r="AE142" s="57"/>
      <c r="AF142" s="57"/>
    </row>
    <row r="143" spans="14:32" x14ac:dyDescent="0.25">
      <c r="N143" s="102"/>
      <c r="O143" s="102"/>
      <c r="P143" s="142" t="s">
        <v>113</v>
      </c>
      <c r="Q143" s="142" t="s">
        <v>681</v>
      </c>
      <c r="R143" s="289">
        <f>Q130</f>
        <v>1952.5000000000002</v>
      </c>
      <c r="S143" s="142" t="s">
        <v>250</v>
      </c>
      <c r="T143" s="289">
        <f>Q137</f>
        <v>1500.7500000000002</v>
      </c>
      <c r="U143" s="142" t="s">
        <v>681</v>
      </c>
      <c r="V143" s="102"/>
      <c r="W143" s="102"/>
    </row>
    <row r="144" spans="14:32" x14ac:dyDescent="0.25">
      <c r="N144" s="102"/>
      <c r="O144" s="102"/>
      <c r="P144" s="142" t="s">
        <v>113</v>
      </c>
      <c r="Q144" s="290">
        <f>ABS(R143-T143)</f>
        <v>451.75</v>
      </c>
      <c r="R144" s="102"/>
      <c r="S144" s="102"/>
      <c r="T144" s="102"/>
      <c r="U144" s="102"/>
      <c r="V144" s="102"/>
      <c r="W144" s="102"/>
    </row>
    <row r="145" spans="13:29" x14ac:dyDescent="0.25">
      <c r="N145" s="102"/>
      <c r="O145" s="102"/>
      <c r="P145" s="102"/>
      <c r="Q145" s="103" t="s">
        <v>685</v>
      </c>
      <c r="R145" s="102"/>
      <c r="S145" s="102"/>
      <c r="T145" s="102"/>
      <c r="U145" s="102"/>
      <c r="V145" s="102"/>
      <c r="W145" s="102"/>
      <c r="AB145" s="57"/>
      <c r="AC145" s="57"/>
    </row>
    <row r="147" spans="13:29" x14ac:dyDescent="0.25">
      <c r="M147" s="161" t="s">
        <v>688</v>
      </c>
      <c r="N147" s="291"/>
    </row>
    <row r="149" spans="13:29" x14ac:dyDescent="0.25">
      <c r="N149" s="29" t="s">
        <v>296</v>
      </c>
    </row>
    <row r="151" spans="13:29" x14ac:dyDescent="0.25">
      <c r="N151" s="57" t="s">
        <v>297</v>
      </c>
      <c r="O151" s="57" t="s">
        <v>113</v>
      </c>
      <c r="P151" s="29" t="s">
        <v>298</v>
      </c>
      <c r="R151" s="126" t="s">
        <v>299</v>
      </c>
      <c r="S151" s="29" t="s">
        <v>300</v>
      </c>
    </row>
    <row r="152" spans="13:29" x14ac:dyDescent="0.25">
      <c r="O152" s="57" t="s">
        <v>113</v>
      </c>
      <c r="P152" s="29" t="s">
        <v>303</v>
      </c>
      <c r="R152" s="57" t="s">
        <v>126</v>
      </c>
      <c r="S152" s="29" t="s">
        <v>301</v>
      </c>
      <c r="U152" s="57" t="s">
        <v>126</v>
      </c>
      <c r="V152" s="29" t="s">
        <v>302</v>
      </c>
    </row>
    <row r="153" spans="13:29" x14ac:dyDescent="0.25">
      <c r="O153" s="57" t="s">
        <v>113</v>
      </c>
      <c r="P153" s="83">
        <f>Q63</f>
        <v>2961.2460000000001</v>
      </c>
      <c r="R153" s="57" t="s">
        <v>126</v>
      </c>
      <c r="S153" s="83">
        <f>Q70</f>
        <v>1276.75</v>
      </c>
      <c r="U153" s="57" t="s">
        <v>126</v>
      </c>
      <c r="V153" s="83">
        <f>Q78</f>
        <v>455</v>
      </c>
    </row>
    <row r="154" spans="13:29" x14ac:dyDescent="0.25">
      <c r="O154" s="57" t="s">
        <v>113</v>
      </c>
      <c r="P154" s="127">
        <f>P153+S153+V153</f>
        <v>4692.9960000000001</v>
      </c>
    </row>
    <row r="156" spans="13:29" x14ac:dyDescent="0.25">
      <c r="N156" s="29" t="s">
        <v>304</v>
      </c>
    </row>
    <row r="157" spans="13:29" x14ac:dyDescent="0.25">
      <c r="N157" s="125" t="s">
        <v>306</v>
      </c>
    </row>
    <row r="158" spans="13:29" x14ac:dyDescent="0.25">
      <c r="N158" s="125" t="s">
        <v>305</v>
      </c>
    </row>
    <row r="160" spans="13:29" x14ac:dyDescent="0.25">
      <c r="N160" s="57" t="s">
        <v>297</v>
      </c>
      <c r="O160" s="57" t="s">
        <v>128</v>
      </c>
      <c r="P160" s="85">
        <v>0.3</v>
      </c>
      <c r="Q160" s="57" t="s">
        <v>113</v>
      </c>
      <c r="R160" s="71">
        <f>P154</f>
        <v>4692.9960000000001</v>
      </c>
      <c r="S160" s="57" t="s">
        <v>128</v>
      </c>
      <c r="T160" s="85">
        <v>0.3</v>
      </c>
      <c r="U160" s="57" t="s">
        <v>113</v>
      </c>
      <c r="V160" s="134">
        <f>R160*T160</f>
        <v>1407.8987999999999</v>
      </c>
      <c r="W160" s="29" t="s">
        <v>307</v>
      </c>
    </row>
    <row r="162" spans="14:24" x14ac:dyDescent="0.25">
      <c r="N162" s="29" t="s">
        <v>313</v>
      </c>
    </row>
    <row r="164" spans="14:24" x14ac:dyDescent="0.25">
      <c r="O164" s="86" t="s">
        <v>308</v>
      </c>
      <c r="Q164" s="86" t="s">
        <v>266</v>
      </c>
      <c r="W164" s="86" t="s">
        <v>298</v>
      </c>
    </row>
    <row r="165" spans="14:24" x14ac:dyDescent="0.25">
      <c r="O165" s="57" t="s">
        <v>297</v>
      </c>
      <c r="P165" s="57" t="s">
        <v>128</v>
      </c>
      <c r="Q165" s="130">
        <f>F88</f>
        <v>8.5000000000000006E-2</v>
      </c>
      <c r="R165" s="131" t="s">
        <v>311</v>
      </c>
      <c r="S165" s="132"/>
      <c r="T165" s="132"/>
      <c r="U165" s="132"/>
      <c r="V165" s="57" t="s">
        <v>113</v>
      </c>
      <c r="W165" s="83">
        <f>P154*Q165</f>
        <v>398.90466000000004</v>
      </c>
    </row>
    <row r="166" spans="14:24" x14ac:dyDescent="0.25">
      <c r="O166" s="57" t="s">
        <v>257</v>
      </c>
      <c r="P166" s="57" t="s">
        <v>128</v>
      </c>
      <c r="Q166" s="130">
        <f>F82</f>
        <v>2.5000000000000001E-2</v>
      </c>
      <c r="R166" s="131" t="s">
        <v>311</v>
      </c>
      <c r="S166" s="132"/>
      <c r="T166" s="132"/>
      <c r="U166" s="132"/>
      <c r="V166" s="57" t="s">
        <v>113</v>
      </c>
      <c r="W166" s="83">
        <f>C79*Q166</f>
        <v>4625</v>
      </c>
    </row>
    <row r="167" spans="14:24" x14ac:dyDescent="0.25">
      <c r="O167" s="57" t="s">
        <v>258</v>
      </c>
      <c r="P167" s="57" t="s">
        <v>128</v>
      </c>
      <c r="Q167" s="130">
        <f>F83</f>
        <v>1.7500000000000002E-2</v>
      </c>
      <c r="R167" s="131" t="s">
        <v>311</v>
      </c>
      <c r="S167" s="132"/>
      <c r="T167" s="132"/>
      <c r="U167" s="132"/>
      <c r="V167" s="57" t="s">
        <v>113</v>
      </c>
      <c r="W167" s="83">
        <f>D79*Q167</f>
        <v>752.50000000000011</v>
      </c>
    </row>
    <row r="168" spans="14:24" x14ac:dyDescent="0.25">
      <c r="O168" s="57" t="s">
        <v>259</v>
      </c>
      <c r="P168" s="57" t="s">
        <v>128</v>
      </c>
      <c r="Q168" s="130">
        <f>F84</f>
        <v>2.5000000000000001E-2</v>
      </c>
      <c r="R168" s="131" t="s">
        <v>311</v>
      </c>
      <c r="S168" s="132"/>
      <c r="T168" s="132"/>
      <c r="U168" s="132"/>
      <c r="V168" s="57" t="s">
        <v>113</v>
      </c>
      <c r="W168" s="83">
        <f>E79*Q168</f>
        <v>950</v>
      </c>
    </row>
    <row r="169" spans="14:24" x14ac:dyDescent="0.25">
      <c r="O169" s="84" t="s">
        <v>310</v>
      </c>
      <c r="P169" s="57" t="s">
        <v>128</v>
      </c>
      <c r="Q169" s="130">
        <f>F87</f>
        <v>2.5000000000000001E-2</v>
      </c>
      <c r="R169" s="57" t="s">
        <v>128</v>
      </c>
      <c r="S169" s="129" t="s">
        <v>309</v>
      </c>
      <c r="V169" s="57" t="s">
        <v>113</v>
      </c>
      <c r="W169" s="83">
        <f>(F79-20%)*Q169*(C79+D79)/(1+F79)</f>
        <v>93.44262295081964</v>
      </c>
    </row>
    <row r="170" spans="14:24" x14ac:dyDescent="0.25">
      <c r="W170" s="88">
        <f>SUM(W165:W169)</f>
        <v>6819.84728295082</v>
      </c>
      <c r="X170" s="70" t="s">
        <v>312</v>
      </c>
    </row>
    <row r="172" spans="14:24" x14ac:dyDescent="0.25">
      <c r="N172" s="29" t="s">
        <v>314</v>
      </c>
    </row>
    <row r="174" spans="14:24" x14ac:dyDescent="0.25">
      <c r="O174" s="86" t="s">
        <v>308</v>
      </c>
      <c r="Q174" s="86" t="s">
        <v>266</v>
      </c>
    </row>
    <row r="175" spans="14:24" x14ac:dyDescent="0.25">
      <c r="O175" s="57" t="s">
        <v>315</v>
      </c>
      <c r="P175" s="57" t="s">
        <v>128</v>
      </c>
      <c r="Q175" s="130">
        <f>F85</f>
        <v>7.4999999999999997E-3</v>
      </c>
      <c r="R175" s="57" t="s">
        <v>113</v>
      </c>
      <c r="S175" s="71">
        <f>G79</f>
        <v>0</v>
      </c>
      <c r="T175" s="57" t="s">
        <v>128</v>
      </c>
      <c r="U175" s="130">
        <f>Q175</f>
        <v>7.4999999999999997E-3</v>
      </c>
      <c r="V175" s="57" t="s">
        <v>113</v>
      </c>
      <c r="W175" s="29">
        <f>S175*U175</f>
        <v>0</v>
      </c>
    </row>
    <row r="176" spans="14:24" x14ac:dyDescent="0.25">
      <c r="O176" s="57" t="s">
        <v>316</v>
      </c>
      <c r="P176" s="57" t="s">
        <v>128</v>
      </c>
      <c r="Q176" s="130">
        <f>F86</f>
        <v>7.4999999999999997E-3</v>
      </c>
      <c r="R176" s="57" t="s">
        <v>113</v>
      </c>
      <c r="S176" s="71">
        <f>H79</f>
        <v>0</v>
      </c>
      <c r="T176" s="57" t="s">
        <v>128</v>
      </c>
      <c r="U176" s="130">
        <f>Q176</f>
        <v>7.4999999999999997E-3</v>
      </c>
      <c r="V176" s="57" t="s">
        <v>113</v>
      </c>
      <c r="W176" s="29">
        <f>S176*U176</f>
        <v>0</v>
      </c>
    </row>
    <row r="177" spans="13:27" x14ac:dyDescent="0.25">
      <c r="W177" s="87">
        <f>MAX(W175:W176)</f>
        <v>0</v>
      </c>
      <c r="X177" s="70" t="s">
        <v>317</v>
      </c>
    </row>
    <row r="178" spans="13:27" x14ac:dyDescent="0.25">
      <c r="N178" s="29" t="s">
        <v>318</v>
      </c>
    </row>
    <row r="180" spans="13:27" x14ac:dyDescent="0.25">
      <c r="P180" s="29" t="s">
        <v>320</v>
      </c>
    </row>
    <row r="181" spans="13:27" x14ac:dyDescent="0.25">
      <c r="O181" s="57" t="s">
        <v>126</v>
      </c>
      <c r="P181" s="29" t="s">
        <v>319</v>
      </c>
    </row>
    <row r="182" spans="13:27" x14ac:dyDescent="0.25">
      <c r="O182" s="133" t="s">
        <v>113</v>
      </c>
      <c r="P182" s="88">
        <f>W170</f>
        <v>6819.84728295082</v>
      </c>
      <c r="Q182" s="87"/>
      <c r="R182" s="87"/>
      <c r="S182" s="87"/>
    </row>
    <row r="183" spans="13:27" x14ac:dyDescent="0.25">
      <c r="O183" s="57" t="s">
        <v>126</v>
      </c>
      <c r="P183" s="29">
        <f>W177</f>
        <v>0</v>
      </c>
    </row>
    <row r="184" spans="13:27" x14ac:dyDescent="0.25">
      <c r="O184" s="133" t="s">
        <v>113</v>
      </c>
      <c r="P184" s="88">
        <f>P182+P183</f>
        <v>6819.84728295082</v>
      </c>
      <c r="Q184" s="135" t="s">
        <v>323</v>
      </c>
      <c r="R184" s="87"/>
      <c r="S184" s="87"/>
    </row>
    <row r="186" spans="13:27" x14ac:dyDescent="0.25">
      <c r="N186" s="29" t="s">
        <v>324</v>
      </c>
      <c r="AA186" s="57"/>
    </row>
    <row r="188" spans="13:27" x14ac:dyDescent="0.25">
      <c r="O188" s="29" t="s">
        <v>321</v>
      </c>
    </row>
    <row r="189" spans="13:27" x14ac:dyDescent="0.25">
      <c r="O189" s="57" t="s">
        <v>113</v>
      </c>
      <c r="P189" s="57" t="s">
        <v>322</v>
      </c>
      <c r="Q189" s="71">
        <f>P184</f>
        <v>6819.84728295082</v>
      </c>
      <c r="R189" s="57" t="s">
        <v>252</v>
      </c>
      <c r="S189" s="71">
        <f>V160</f>
        <v>1407.8987999999999</v>
      </c>
      <c r="T189" s="57" t="s">
        <v>127</v>
      </c>
    </row>
    <row r="190" spans="13:27" x14ac:dyDescent="0.25">
      <c r="O190" s="57" t="s">
        <v>113</v>
      </c>
      <c r="P190" s="89">
        <f>MIN(Q189,S189)</f>
        <v>1407.8987999999999</v>
      </c>
      <c r="Q190" s="70" t="s">
        <v>325</v>
      </c>
    </row>
    <row r="192" spans="13:27" x14ac:dyDescent="0.25">
      <c r="M192" s="120" t="s">
        <v>326</v>
      </c>
      <c r="N192" s="123"/>
      <c r="O192" s="123"/>
      <c r="P192" s="124"/>
    </row>
    <row r="194" spans="12:26" x14ac:dyDescent="0.25">
      <c r="M194" s="57" t="s">
        <v>254</v>
      </c>
      <c r="N194" s="57" t="s">
        <v>119</v>
      </c>
      <c r="O194" s="57" t="s">
        <v>113</v>
      </c>
      <c r="P194" s="81" t="s">
        <v>327</v>
      </c>
    </row>
    <row r="195" spans="12:26" x14ac:dyDescent="0.25">
      <c r="N195" s="57" t="s">
        <v>121</v>
      </c>
      <c r="O195" s="57" t="s">
        <v>113</v>
      </c>
      <c r="P195" s="81" t="s">
        <v>328</v>
      </c>
    </row>
    <row r="196" spans="12:26" x14ac:dyDescent="0.25">
      <c r="N196" s="57" t="s">
        <v>329</v>
      </c>
      <c r="O196" s="57" t="s">
        <v>113</v>
      </c>
      <c r="P196" s="81" t="s">
        <v>330</v>
      </c>
    </row>
    <row r="198" spans="12:26" x14ac:dyDescent="0.25">
      <c r="M198" s="57" t="s">
        <v>331</v>
      </c>
      <c r="N198" s="57" t="s">
        <v>119</v>
      </c>
      <c r="O198" s="57" t="s">
        <v>113</v>
      </c>
      <c r="P198" s="57" t="s">
        <v>121</v>
      </c>
      <c r="Q198" s="57" t="s">
        <v>126</v>
      </c>
      <c r="R198" s="57" t="s">
        <v>329</v>
      </c>
      <c r="S198" s="57" t="s">
        <v>113</v>
      </c>
      <c r="T198" s="71">
        <f>Q78</f>
        <v>455</v>
      </c>
      <c r="U198" s="57" t="s">
        <v>126</v>
      </c>
      <c r="V198" s="71">
        <f>Q70</f>
        <v>1276.75</v>
      </c>
      <c r="W198" s="57" t="s">
        <v>113</v>
      </c>
      <c r="X198" s="71">
        <f>T198+V198</f>
        <v>1731.75</v>
      </c>
    </row>
    <row r="200" spans="12:26" x14ac:dyDescent="0.25">
      <c r="M200" s="57" t="s">
        <v>254</v>
      </c>
      <c r="N200" s="57" t="s">
        <v>120</v>
      </c>
      <c r="O200" s="57" t="s">
        <v>113</v>
      </c>
      <c r="P200" s="29" t="s">
        <v>333</v>
      </c>
      <c r="R200" s="131" t="s">
        <v>311</v>
      </c>
      <c r="S200" s="132"/>
      <c r="T200" s="132"/>
      <c r="U200" s="132"/>
      <c r="V200" s="132"/>
      <c r="W200" s="57" t="s">
        <v>113</v>
      </c>
      <c r="X200" s="83">
        <f>Q63</f>
        <v>2961.2460000000001</v>
      </c>
      <c r="Y200" s="125" t="s">
        <v>334</v>
      </c>
    </row>
    <row r="201" spans="12:26" x14ac:dyDescent="0.25">
      <c r="Z201" s="57"/>
    </row>
    <row r="202" spans="12:26" x14ac:dyDescent="0.25">
      <c r="M202" s="57" t="s">
        <v>331</v>
      </c>
    </row>
    <row r="203" spans="12:26" x14ac:dyDescent="0.25">
      <c r="M203" s="84"/>
      <c r="N203" s="84" t="s">
        <v>332</v>
      </c>
      <c r="O203" s="57" t="s">
        <v>113</v>
      </c>
      <c r="P203" s="57" t="s">
        <v>119</v>
      </c>
      <c r="Q203" s="57" t="s">
        <v>126</v>
      </c>
      <c r="R203" s="57" t="s">
        <v>120</v>
      </c>
      <c r="S203" s="57" t="s">
        <v>250</v>
      </c>
      <c r="T203" s="81" t="s">
        <v>340</v>
      </c>
      <c r="U203" s="57"/>
      <c r="V203" s="57"/>
      <c r="W203" s="57"/>
      <c r="X203" s="57"/>
      <c r="Y203" s="57"/>
    </row>
    <row r="204" spans="12:26" x14ac:dyDescent="0.25">
      <c r="O204" s="57" t="s">
        <v>113</v>
      </c>
      <c r="P204" s="83">
        <f>X198</f>
        <v>1731.75</v>
      </c>
      <c r="Q204" s="57" t="s">
        <v>126</v>
      </c>
      <c r="R204" s="83">
        <f>X200</f>
        <v>2961.2460000000001</v>
      </c>
      <c r="S204" s="57" t="s">
        <v>250</v>
      </c>
      <c r="T204" s="83">
        <f>SQRT(X198^2+X200^2+2*0.5*X198*X200)</f>
        <v>4110.4833895195343</v>
      </c>
    </row>
    <row r="205" spans="12:26" x14ac:dyDescent="0.25">
      <c r="O205" s="57" t="s">
        <v>113</v>
      </c>
      <c r="P205" s="89">
        <f>P204+R204-T204</f>
        <v>582.51261048046581</v>
      </c>
      <c r="Q205" s="70" t="s">
        <v>335</v>
      </c>
    </row>
    <row r="207" spans="12:26" x14ac:dyDescent="0.25">
      <c r="L207" s="36"/>
      <c r="M207" s="36"/>
      <c r="N207" s="36"/>
      <c r="O207" s="36"/>
      <c r="P207" s="36"/>
      <c r="Q207" s="36"/>
      <c r="R207" s="36"/>
      <c r="S207" s="36"/>
      <c r="T207" s="36"/>
      <c r="U207" s="36"/>
      <c r="V207" s="36"/>
      <c r="W207" s="36"/>
      <c r="X207" s="36"/>
      <c r="Y207" s="36"/>
    </row>
    <row r="209" spans="12:18" x14ac:dyDescent="0.25">
      <c r="L209" s="57" t="s">
        <v>4</v>
      </c>
      <c r="M209" s="57" t="s">
        <v>341</v>
      </c>
      <c r="N209" s="57" t="s">
        <v>113</v>
      </c>
      <c r="O209" s="29" t="s">
        <v>343</v>
      </c>
      <c r="Q209" s="59" t="s">
        <v>115</v>
      </c>
      <c r="R209" s="29" t="s">
        <v>342</v>
      </c>
    </row>
    <row r="210" spans="12:18" x14ac:dyDescent="0.25">
      <c r="N210" s="57" t="s">
        <v>113</v>
      </c>
      <c r="O210" s="29" t="s">
        <v>344</v>
      </c>
      <c r="Q210" s="59" t="s">
        <v>115</v>
      </c>
      <c r="R210" s="29" t="s">
        <v>345</v>
      </c>
    </row>
    <row r="211" spans="12:18" x14ac:dyDescent="0.25">
      <c r="N211" s="57" t="s">
        <v>113</v>
      </c>
      <c r="O211" s="137">
        <f>N56</f>
        <v>6616.48</v>
      </c>
      <c r="Q211" s="59" t="s">
        <v>115</v>
      </c>
      <c r="R211" s="137">
        <f>Q83</f>
        <v>3678.9214596796896</v>
      </c>
    </row>
    <row r="212" spans="12:18" x14ac:dyDescent="0.25">
      <c r="N212" s="57" t="s">
        <v>113</v>
      </c>
      <c r="O212" s="138">
        <f>O211/R211</f>
        <v>1.7984836242130791</v>
      </c>
      <c r="P212" s="70" t="s">
        <v>346</v>
      </c>
    </row>
    <row r="214" spans="12:18" x14ac:dyDescent="0.25">
      <c r="M214" s="29" t="s">
        <v>347</v>
      </c>
      <c r="O214" s="73">
        <f>O212</f>
        <v>1.7984836242130791</v>
      </c>
      <c r="P214" s="29" t="s">
        <v>348</v>
      </c>
    </row>
    <row r="215" spans="12:18" x14ac:dyDescent="0.25">
      <c r="M215" s="29" t="s">
        <v>349</v>
      </c>
    </row>
  </sheetData>
  <mergeCells count="1">
    <mergeCell ref="I1:J1"/>
  </mergeCells>
  <conditionalFormatting sqref="B1">
    <cfRule type="cellIs" dxfId="49" priority="3" operator="equal">
      <formula>"Incomplete"</formula>
    </cfRule>
    <cfRule type="cellIs" dxfId="48" priority="4" operator="equal">
      <formula>"Flag for Review"</formula>
    </cfRule>
    <cfRule type="cellIs" dxfId="47" priority="5" operator="equal">
      <formula>"Finished"</formula>
    </cfRule>
  </conditionalFormatting>
  <dataValidations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5"/>
  <sheetViews>
    <sheetView zoomScaleNormal="100" workbookViewId="0"/>
  </sheetViews>
  <sheetFormatPr defaultRowHeight="15" x14ac:dyDescent="0.25"/>
  <cols>
    <col min="1" max="1" width="9.7109375" customWidth="1"/>
    <col min="2" max="2" width="10.42578125" customWidth="1"/>
    <col min="3" max="9" width="6.7109375" customWidth="1"/>
    <col min="10" max="10" width="14.140625" bestFit="1" customWidth="1"/>
    <col min="11" max="11" width="2.7109375" customWidth="1"/>
    <col min="12" max="12" width="12.7109375" customWidth="1"/>
    <col min="13" max="19" width="6.7109375" customWidth="1"/>
  </cols>
  <sheetData>
    <row r="1" spans="1:23" ht="15.75" thickBot="1" x14ac:dyDescent="0.3"/>
    <row r="2" spans="1:23" ht="15" customHeight="1" thickBot="1" x14ac:dyDescent="0.3">
      <c r="L2" s="19" t="s">
        <v>31</v>
      </c>
      <c r="M2" s="22" t="e">
        <f>IF(SUM(IF(M8:S35="",0,1))=0,"",SUM(M8:S35))</f>
        <v>#VALUE!</v>
      </c>
      <c r="O2" s="13" t="s">
        <v>14</v>
      </c>
      <c r="P2" s="6" t="e">
        <f>IF(M2="","",M2/M3)</f>
        <v>#VALUE!</v>
      </c>
    </row>
    <row r="3" spans="1:23" x14ac:dyDescent="0.25">
      <c r="L3" s="20" t="s">
        <v>32</v>
      </c>
      <c r="M3" s="21">
        <f>SUM(B8:B35)</f>
        <v>72</v>
      </c>
    </row>
    <row r="5" spans="1:23" ht="23.25" x14ac:dyDescent="0.35">
      <c r="A5" s="15" t="s">
        <v>1198</v>
      </c>
      <c r="B5" s="12"/>
      <c r="C5" s="12"/>
      <c r="D5" s="12"/>
      <c r="E5" s="12"/>
      <c r="F5" s="12"/>
      <c r="G5" s="12"/>
      <c r="H5" s="12"/>
      <c r="I5" s="12"/>
      <c r="J5" s="12"/>
      <c r="K5" s="12"/>
      <c r="L5" s="12"/>
      <c r="M5" s="12"/>
      <c r="N5" s="12"/>
      <c r="O5" s="12"/>
      <c r="P5" s="12"/>
      <c r="Q5" s="12"/>
      <c r="R5" s="12"/>
      <c r="S5" s="12"/>
    </row>
    <row r="6" spans="1:23" ht="15.75" x14ac:dyDescent="0.25">
      <c r="A6" s="1"/>
      <c r="B6" s="387" t="s">
        <v>9</v>
      </c>
      <c r="C6" s="2" t="s">
        <v>1</v>
      </c>
      <c r="D6" s="2"/>
      <c r="E6" s="2"/>
      <c r="F6" s="2"/>
      <c r="G6" s="2"/>
      <c r="H6" s="2"/>
      <c r="I6" s="2"/>
      <c r="J6" s="1"/>
      <c r="L6" s="4" t="s">
        <v>11</v>
      </c>
      <c r="M6" s="2" t="s">
        <v>1</v>
      </c>
      <c r="N6" s="2"/>
      <c r="O6" s="2"/>
      <c r="P6" s="2"/>
      <c r="Q6" s="2"/>
      <c r="R6" s="2"/>
      <c r="S6" s="2"/>
    </row>
    <row r="7" spans="1:23" x14ac:dyDescent="0.25">
      <c r="A7" s="3" t="s">
        <v>0</v>
      </c>
      <c r="B7" s="387"/>
      <c r="C7" s="3" t="s">
        <v>2</v>
      </c>
      <c r="D7" s="3" t="s">
        <v>3</v>
      </c>
      <c r="E7" s="3" t="s">
        <v>4</v>
      </c>
      <c r="F7" s="3" t="s">
        <v>5</v>
      </c>
      <c r="G7" s="3" t="s">
        <v>6</v>
      </c>
      <c r="H7" s="3" t="s">
        <v>7</v>
      </c>
      <c r="I7" s="3" t="s">
        <v>8</v>
      </c>
      <c r="J7" s="3" t="s">
        <v>10</v>
      </c>
      <c r="L7" s="3" t="s">
        <v>0</v>
      </c>
      <c r="M7" s="3" t="s">
        <v>2</v>
      </c>
      <c r="N7" s="3" t="s">
        <v>3</v>
      </c>
      <c r="O7" s="3" t="s">
        <v>4</v>
      </c>
      <c r="P7" s="3" t="s">
        <v>5</v>
      </c>
      <c r="Q7" s="3" t="s">
        <v>6</v>
      </c>
      <c r="R7" s="3" t="s">
        <v>7</v>
      </c>
      <c r="S7" s="3" t="s">
        <v>8</v>
      </c>
    </row>
    <row r="8" spans="1:23" x14ac:dyDescent="0.25">
      <c r="A8" s="14">
        <v>1</v>
      </c>
      <c r="B8" s="226">
        <f>SUM(C8:I8)</f>
        <v>2</v>
      </c>
      <c r="C8" s="11">
        <v>0.5</v>
      </c>
      <c r="D8" s="11">
        <v>0.25</v>
      </c>
      <c r="E8" s="11">
        <v>0.75</v>
      </c>
      <c r="F8" s="11">
        <v>0.5</v>
      </c>
      <c r="G8" s="11"/>
      <c r="H8" s="11"/>
      <c r="I8" s="11"/>
      <c r="J8" s="10" t="str">
        <f ca="1">INDIRECT("'"&amp;A8&amp;"'!B1")</f>
        <v>Incomplete</v>
      </c>
      <c r="L8" s="14">
        <f>A8</f>
        <v>1</v>
      </c>
      <c r="M8" s="11" t="str">
        <f>IF('1'!$A8="","",'1'!$A8)</f>
        <v/>
      </c>
      <c r="N8" s="11" t="str">
        <f>IF('1'!$A12="","",'1'!$A12)</f>
        <v/>
      </c>
      <c r="O8" s="11" t="str">
        <f>IF('1'!$A16="","",'1'!$A16)</f>
        <v/>
      </c>
      <c r="P8" s="11" t="str">
        <f>IF('1'!$A20="","",'1'!$A20)</f>
        <v/>
      </c>
      <c r="Q8" s="11"/>
      <c r="R8" s="11" t="s">
        <v>34</v>
      </c>
      <c r="S8" s="11"/>
      <c r="T8" s="343">
        <f>L8</f>
        <v>1</v>
      </c>
      <c r="U8" s="356" t="s">
        <v>794</v>
      </c>
      <c r="V8" s="356"/>
      <c r="W8" s="356"/>
    </row>
    <row r="9" spans="1:23" x14ac:dyDescent="0.25">
      <c r="A9" s="14">
        <v>2</v>
      </c>
      <c r="B9" s="226">
        <f t="shared" ref="B9:B35" si="0">SUM(C9:I9)</f>
        <v>1</v>
      </c>
      <c r="C9" s="11">
        <v>0.5</v>
      </c>
      <c r="D9" s="11">
        <v>0.5</v>
      </c>
      <c r="E9" s="11"/>
      <c r="F9" s="11"/>
      <c r="G9" s="11"/>
      <c r="H9" s="11"/>
      <c r="I9" s="11"/>
      <c r="J9" s="10" t="str">
        <f t="shared" ref="J9:J26" ca="1" si="1">INDIRECT("'"&amp;A9&amp;"'!B1")</f>
        <v>Incomplete</v>
      </c>
      <c r="L9" s="14">
        <f t="shared" ref="L9:L26" si="2">A9</f>
        <v>2</v>
      </c>
      <c r="M9" s="11" t="str">
        <f>IF('2'!$A8="","",'2'!$A8)</f>
        <v/>
      </c>
      <c r="N9" s="11" t="str">
        <f>IF('2'!$A12="","",'2'!$A12)</f>
        <v/>
      </c>
      <c r="O9" s="11"/>
      <c r="P9" s="11"/>
      <c r="Q9" s="11"/>
      <c r="R9" s="11"/>
      <c r="S9" s="11"/>
      <c r="T9" s="343">
        <f t="shared" ref="T9:T35" si="3">L9</f>
        <v>2</v>
      </c>
      <c r="U9" s="356" t="s">
        <v>945</v>
      </c>
      <c r="V9" s="356"/>
      <c r="W9" s="356"/>
    </row>
    <row r="10" spans="1:23" x14ac:dyDescent="0.25">
      <c r="A10" s="14">
        <v>3</v>
      </c>
      <c r="B10" s="226">
        <f t="shared" si="0"/>
        <v>1.25</v>
      </c>
      <c r="C10" s="11">
        <v>0.75</v>
      </c>
      <c r="D10" s="11">
        <v>0.5</v>
      </c>
      <c r="E10" s="11"/>
      <c r="F10" s="11"/>
      <c r="G10" s="11"/>
      <c r="H10" s="11"/>
      <c r="I10" s="11"/>
      <c r="J10" s="10" t="str">
        <f t="shared" ca="1" si="1"/>
        <v>Incomplete</v>
      </c>
      <c r="L10" s="14">
        <f t="shared" si="2"/>
        <v>3</v>
      </c>
      <c r="M10" s="11" t="str">
        <f>IF('3'!$A8="","",'3'!$A8)</f>
        <v/>
      </c>
      <c r="N10" s="11" t="str">
        <f>IF('3'!$A12="","",'3'!$A12)</f>
        <v/>
      </c>
      <c r="O10" s="11"/>
      <c r="P10" s="11"/>
      <c r="Q10" s="11"/>
      <c r="R10" s="11"/>
      <c r="S10" s="11"/>
      <c r="T10" s="343">
        <f t="shared" si="3"/>
        <v>3</v>
      </c>
      <c r="U10" s="356" t="s">
        <v>798</v>
      </c>
      <c r="V10" s="356"/>
      <c r="W10" s="356"/>
    </row>
    <row r="11" spans="1:23" x14ac:dyDescent="0.25">
      <c r="A11" s="14">
        <v>4</v>
      </c>
      <c r="B11" s="226">
        <f t="shared" si="0"/>
        <v>1.5</v>
      </c>
      <c r="C11" s="11">
        <v>0.75</v>
      </c>
      <c r="D11" s="11">
        <v>0.75</v>
      </c>
      <c r="E11" s="11"/>
      <c r="F11" s="11"/>
      <c r="G11" s="11"/>
      <c r="H11" s="11"/>
      <c r="I11" s="11"/>
      <c r="J11" s="10" t="str">
        <f t="shared" ca="1" si="1"/>
        <v>Incomplete</v>
      </c>
      <c r="L11" s="14">
        <f t="shared" si="2"/>
        <v>4</v>
      </c>
      <c r="M11" s="11" t="str">
        <f>IF('4'!$A8="","",'4'!$A8)</f>
        <v/>
      </c>
      <c r="N11" s="11" t="str">
        <f>IF('4'!$A12="","",'4'!$A12)</f>
        <v/>
      </c>
      <c r="O11" s="11" t="str">
        <f>IF('4'!$A16="","",'4'!$A16)</f>
        <v/>
      </c>
      <c r="P11" s="11"/>
      <c r="Q11" s="11"/>
      <c r="R11" s="11"/>
      <c r="S11" s="11"/>
      <c r="T11" s="357">
        <f t="shared" si="3"/>
        <v>4</v>
      </c>
      <c r="U11" s="358" t="s">
        <v>795</v>
      </c>
      <c r="V11" s="358"/>
      <c r="W11" s="358"/>
    </row>
    <row r="12" spans="1:23" x14ac:dyDescent="0.25">
      <c r="A12" s="14">
        <v>5</v>
      </c>
      <c r="B12" s="226">
        <f t="shared" si="0"/>
        <v>2.25</v>
      </c>
      <c r="C12" s="11">
        <v>1</v>
      </c>
      <c r="D12" s="11">
        <v>0.5</v>
      </c>
      <c r="E12" s="11">
        <v>0.75</v>
      </c>
      <c r="F12" s="11"/>
      <c r="G12" s="11"/>
      <c r="H12" s="11"/>
      <c r="I12" s="11"/>
      <c r="J12" s="10" t="str">
        <f t="shared" ca="1" si="1"/>
        <v>Incomplete</v>
      </c>
      <c r="L12" s="14">
        <f t="shared" si="2"/>
        <v>5</v>
      </c>
      <c r="M12" s="11" t="str">
        <f>IF('5'!$A8="","",'5'!$A8)</f>
        <v/>
      </c>
      <c r="N12" s="11" t="str">
        <f>IF('5'!$A12="","",'5'!$A12)</f>
        <v/>
      </c>
      <c r="O12" s="11" t="str">
        <f>IF('5'!$A22="","",'5'!$A22)</f>
        <v/>
      </c>
      <c r="P12" s="11"/>
      <c r="Q12" s="11"/>
      <c r="R12" s="11"/>
      <c r="S12" s="11"/>
      <c r="T12" s="343">
        <f t="shared" si="3"/>
        <v>5</v>
      </c>
      <c r="U12" s="356" t="s">
        <v>1197</v>
      </c>
      <c r="V12" s="356"/>
      <c r="W12" s="356"/>
    </row>
    <row r="13" spans="1:23" x14ac:dyDescent="0.25">
      <c r="A13" s="14">
        <v>6</v>
      </c>
      <c r="B13" s="226">
        <f t="shared" si="0"/>
        <v>1.5</v>
      </c>
      <c r="C13" s="11">
        <v>0.5</v>
      </c>
      <c r="D13" s="11">
        <v>1</v>
      </c>
      <c r="E13" s="11"/>
      <c r="F13" s="11"/>
      <c r="G13" s="11"/>
      <c r="H13" s="11"/>
      <c r="I13" s="11"/>
      <c r="J13" s="10" t="str">
        <f t="shared" ca="1" si="1"/>
        <v>Incomplete</v>
      </c>
      <c r="L13" s="14">
        <f t="shared" si="2"/>
        <v>6</v>
      </c>
      <c r="M13" s="11" t="str">
        <f>IF('6'!$A8="","",'6'!$A8)</f>
        <v/>
      </c>
      <c r="N13" s="11" t="str">
        <f>IF('6'!$A12="","",'6'!$A12)</f>
        <v/>
      </c>
      <c r="O13" s="11" t="str">
        <f>IF('6'!$A16="","",'6'!$A16)</f>
        <v/>
      </c>
      <c r="P13" s="11" t="str">
        <f>IF('6'!$A20="","",'6'!$A20)</f>
        <v/>
      </c>
      <c r="Q13" s="11"/>
      <c r="R13" s="11"/>
      <c r="S13" s="11"/>
      <c r="T13" s="343">
        <f t="shared" si="3"/>
        <v>6</v>
      </c>
      <c r="U13" s="356" t="s">
        <v>868</v>
      </c>
      <c r="V13" s="356"/>
      <c r="W13" s="356"/>
    </row>
    <row r="14" spans="1:23" x14ac:dyDescent="0.25">
      <c r="A14" s="14">
        <v>7</v>
      </c>
      <c r="B14" s="226">
        <f t="shared" si="0"/>
        <v>2.75</v>
      </c>
      <c r="C14" s="11">
        <v>0.25</v>
      </c>
      <c r="D14" s="11">
        <v>1</v>
      </c>
      <c r="E14" s="11">
        <v>1</v>
      </c>
      <c r="F14" s="11">
        <v>0.5</v>
      </c>
      <c r="G14" s="11"/>
      <c r="H14" s="11"/>
      <c r="I14" s="11"/>
      <c r="J14" s="10" t="str">
        <f t="shared" ca="1" si="1"/>
        <v>Incomplete</v>
      </c>
      <c r="L14" s="14">
        <f t="shared" si="2"/>
        <v>7</v>
      </c>
      <c r="M14" s="11" t="str">
        <f>IF('7'!$A8="","",'7'!$A8)</f>
        <v/>
      </c>
      <c r="N14" s="11" t="str">
        <f>IF('7'!$A12="","",'7'!$A12)</f>
        <v/>
      </c>
      <c r="O14" s="11" t="str">
        <f>IF('7'!$A16="","",'7'!$A16)</f>
        <v/>
      </c>
      <c r="P14" s="11" t="str">
        <f>IF('7'!$A20="","",'7'!$A20)</f>
        <v/>
      </c>
      <c r="Q14" s="11"/>
      <c r="R14" s="11"/>
      <c r="S14" s="11"/>
      <c r="T14" s="343">
        <f t="shared" si="3"/>
        <v>7</v>
      </c>
      <c r="U14" s="356" t="s">
        <v>869</v>
      </c>
      <c r="V14" s="356"/>
      <c r="W14" s="356"/>
    </row>
    <row r="15" spans="1:23" x14ac:dyDescent="0.25">
      <c r="A15" s="14">
        <v>8</v>
      </c>
      <c r="B15" s="226">
        <f t="shared" si="0"/>
        <v>2.25</v>
      </c>
      <c r="C15" s="11">
        <v>1.25</v>
      </c>
      <c r="D15" s="11">
        <v>1</v>
      </c>
      <c r="E15" s="11"/>
      <c r="F15" s="11"/>
      <c r="G15" s="11"/>
      <c r="H15" s="11"/>
      <c r="I15" s="11"/>
      <c r="J15" s="10" t="str">
        <f t="shared" ca="1" si="1"/>
        <v>Incomplete</v>
      </c>
      <c r="L15" s="14">
        <f t="shared" si="2"/>
        <v>8</v>
      </c>
      <c r="M15" s="11" t="str">
        <f>IF('8'!$A8="","",'8'!$A8)</f>
        <v/>
      </c>
      <c r="N15" s="11" t="str">
        <f>IF('8'!$A16="","",'8'!$A16)</f>
        <v/>
      </c>
      <c r="O15" s="11"/>
      <c r="P15" s="11"/>
      <c r="Q15" s="11"/>
      <c r="R15" s="11"/>
      <c r="S15" s="11"/>
      <c r="T15" s="357">
        <f t="shared" si="3"/>
        <v>8</v>
      </c>
      <c r="U15" s="358" t="s">
        <v>870</v>
      </c>
      <c r="V15" s="358"/>
      <c r="W15" s="358"/>
    </row>
    <row r="16" spans="1:23" x14ac:dyDescent="0.25">
      <c r="A16" s="14">
        <v>9</v>
      </c>
      <c r="B16" s="226">
        <f t="shared" si="0"/>
        <v>1.75</v>
      </c>
      <c r="C16" s="11">
        <v>0.75</v>
      </c>
      <c r="D16" s="11">
        <v>0.5</v>
      </c>
      <c r="E16" s="11">
        <v>0.5</v>
      </c>
      <c r="F16" s="11"/>
      <c r="G16" s="11"/>
      <c r="H16" s="11"/>
      <c r="I16" s="11"/>
      <c r="J16" s="10" t="str">
        <f t="shared" ca="1" si="1"/>
        <v>Incomplete</v>
      </c>
      <c r="L16" s="14">
        <f t="shared" si="2"/>
        <v>9</v>
      </c>
      <c r="M16" s="11" t="str">
        <f>IF('9'!$A39="","",'9'!$A39)</f>
        <v/>
      </c>
      <c r="N16" s="11" t="str">
        <f>IF('9'!$A43="","",'9'!$A43)</f>
        <v/>
      </c>
      <c r="O16" s="11" t="str">
        <f>IF('9'!$A47="","",'9'!$A47)</f>
        <v/>
      </c>
      <c r="P16" s="11"/>
      <c r="Q16" s="11"/>
      <c r="R16" s="11"/>
      <c r="S16" s="11"/>
      <c r="T16" s="343">
        <f t="shared" si="3"/>
        <v>9</v>
      </c>
      <c r="U16" s="356" t="s">
        <v>871</v>
      </c>
      <c r="V16" s="356"/>
      <c r="W16" s="356"/>
    </row>
    <row r="17" spans="1:23" x14ac:dyDescent="0.25">
      <c r="A17" s="14">
        <v>10</v>
      </c>
      <c r="B17" s="226">
        <f t="shared" si="0"/>
        <v>1</v>
      </c>
      <c r="C17" s="11">
        <v>1</v>
      </c>
      <c r="D17" s="11"/>
      <c r="E17" s="11"/>
      <c r="F17" s="11"/>
      <c r="G17" s="11"/>
      <c r="H17" s="11"/>
      <c r="I17" s="11"/>
      <c r="J17" s="10" t="str">
        <f t="shared" ca="1" si="1"/>
        <v>Incomplete</v>
      </c>
      <c r="L17" s="14">
        <f t="shared" si="2"/>
        <v>10</v>
      </c>
      <c r="M17" s="11" t="str">
        <f>IF('10'!$A8="","",'10'!$A8)</f>
        <v/>
      </c>
      <c r="N17" s="11"/>
      <c r="O17" s="11"/>
      <c r="P17" s="11"/>
      <c r="Q17" s="11"/>
      <c r="R17" s="11"/>
      <c r="S17" s="11"/>
      <c r="T17" s="343">
        <f t="shared" si="3"/>
        <v>10</v>
      </c>
      <c r="U17" s="356" t="s">
        <v>872</v>
      </c>
      <c r="V17" s="356"/>
      <c r="W17" s="356"/>
    </row>
    <row r="18" spans="1:23" x14ac:dyDescent="0.25">
      <c r="A18" s="14">
        <v>11</v>
      </c>
      <c r="B18" s="226">
        <f t="shared" si="0"/>
        <v>2</v>
      </c>
      <c r="C18" s="11">
        <v>0.25</v>
      </c>
      <c r="D18" s="11">
        <v>0.5</v>
      </c>
      <c r="E18" s="11">
        <v>0.5</v>
      </c>
      <c r="F18" s="11">
        <v>0.5</v>
      </c>
      <c r="G18" s="11">
        <v>0.25</v>
      </c>
      <c r="H18" s="11"/>
      <c r="I18" s="11"/>
      <c r="J18" s="10" t="str">
        <f t="shared" ca="1" si="1"/>
        <v>Incomplete</v>
      </c>
      <c r="L18" s="14">
        <f t="shared" si="2"/>
        <v>11</v>
      </c>
      <c r="M18" s="11" t="str">
        <f>IF('11'!$A8="","",'11'!$A8)</f>
        <v/>
      </c>
      <c r="N18" s="11" t="str">
        <f>IF('11'!$A12="","",'11'!$A12)</f>
        <v/>
      </c>
      <c r="O18" s="11" t="str">
        <f>IF('11'!$A16="","",'11'!$A16)</f>
        <v/>
      </c>
      <c r="P18" s="11" t="str">
        <f>IF('11'!$A20="","",'11'!$A20)</f>
        <v/>
      </c>
      <c r="Q18" s="11" t="str">
        <f>IF('11'!$A24="","",'11'!$A24)</f>
        <v/>
      </c>
      <c r="R18" s="11"/>
      <c r="S18" s="11"/>
      <c r="T18" s="343">
        <f t="shared" si="3"/>
        <v>11</v>
      </c>
      <c r="U18" s="356" t="s">
        <v>873</v>
      </c>
      <c r="V18" s="356"/>
      <c r="W18" s="356"/>
    </row>
    <row r="19" spans="1:23" x14ac:dyDescent="0.25">
      <c r="A19" s="14">
        <v>12</v>
      </c>
      <c r="B19" s="226">
        <f t="shared" si="0"/>
        <v>1.25</v>
      </c>
      <c r="C19" s="11">
        <v>0.25</v>
      </c>
      <c r="D19" s="11">
        <v>0.25</v>
      </c>
      <c r="E19" s="11">
        <v>0.25</v>
      </c>
      <c r="F19" s="11">
        <v>0.5</v>
      </c>
      <c r="G19" s="11"/>
      <c r="H19" s="11"/>
      <c r="I19" s="11"/>
      <c r="J19" s="10" t="str">
        <f t="shared" ca="1" si="1"/>
        <v>Incomplete</v>
      </c>
      <c r="L19" s="14">
        <f t="shared" si="2"/>
        <v>12</v>
      </c>
      <c r="M19" s="11" t="str">
        <f>IF('12'!$A8="","",'12'!$A8)</f>
        <v/>
      </c>
      <c r="N19" s="11" t="str">
        <f>IF('12'!$A15="","",'12'!$A15)</f>
        <v/>
      </c>
      <c r="O19" s="11" t="str">
        <f>IF('12'!$A20="","",'12'!$A20)</f>
        <v/>
      </c>
      <c r="P19" s="11" t="str">
        <f>IF('12'!$A28="","",'12'!$A28)</f>
        <v/>
      </c>
      <c r="Q19" s="11"/>
      <c r="R19" s="11"/>
      <c r="S19" s="11"/>
      <c r="T19" s="357">
        <f t="shared" si="3"/>
        <v>12</v>
      </c>
      <c r="U19" s="358" t="s">
        <v>873</v>
      </c>
      <c r="V19" s="358"/>
      <c r="W19" s="358"/>
    </row>
    <row r="20" spans="1:23" x14ac:dyDescent="0.25">
      <c r="A20" s="14">
        <v>13</v>
      </c>
      <c r="B20" s="226">
        <f t="shared" si="0"/>
        <v>1.5</v>
      </c>
      <c r="C20" s="11">
        <v>0.5</v>
      </c>
      <c r="D20" s="11">
        <v>0.5</v>
      </c>
      <c r="E20" s="11">
        <v>0.5</v>
      </c>
      <c r="F20" s="11"/>
      <c r="G20" s="11"/>
      <c r="H20" s="11"/>
      <c r="I20" s="11"/>
      <c r="J20" s="10" t="str">
        <f t="shared" ca="1" si="1"/>
        <v>Incomplete</v>
      </c>
      <c r="L20" s="14">
        <f t="shared" si="2"/>
        <v>13</v>
      </c>
      <c r="M20" s="11" t="str">
        <f>IF('13'!$A8="","",'13'!$A8)</f>
        <v/>
      </c>
      <c r="N20" s="11" t="str">
        <f>IF('13'!$A12="","",'13'!$A12)</f>
        <v/>
      </c>
      <c r="O20" s="11" t="str">
        <f>IF('13'!$A16="","",'13'!$A16)</f>
        <v/>
      </c>
      <c r="P20" s="11"/>
      <c r="Q20" s="11"/>
      <c r="R20" s="11"/>
      <c r="S20" s="11"/>
      <c r="T20" s="343">
        <f t="shared" si="3"/>
        <v>13</v>
      </c>
      <c r="U20" s="146" t="s">
        <v>874</v>
      </c>
      <c r="V20" s="356"/>
      <c r="W20" s="356"/>
    </row>
    <row r="21" spans="1:23" x14ac:dyDescent="0.25">
      <c r="A21" s="14">
        <v>14</v>
      </c>
      <c r="B21" s="226">
        <f t="shared" si="0"/>
        <v>2.25</v>
      </c>
      <c r="C21" s="11">
        <v>1</v>
      </c>
      <c r="D21" s="11">
        <v>0.5</v>
      </c>
      <c r="E21" s="11">
        <v>0.75</v>
      </c>
      <c r="F21" s="11"/>
      <c r="G21" s="11"/>
      <c r="H21" s="11"/>
      <c r="I21" s="11"/>
      <c r="J21" s="10" t="str">
        <f t="shared" ca="1" si="1"/>
        <v>Incomplete</v>
      </c>
      <c r="L21" s="14">
        <f t="shared" si="2"/>
        <v>14</v>
      </c>
      <c r="M21" s="11" t="str">
        <f>IF('14'!$A8="","",'14'!$A8)</f>
        <v/>
      </c>
      <c r="N21" s="11" t="str">
        <f>IF('14'!$A33="","",'14'!$A33)</f>
        <v/>
      </c>
      <c r="O21" s="11" t="str">
        <f>IF('14'!$A37="","",'14'!$A37)</f>
        <v/>
      </c>
      <c r="P21" s="11"/>
      <c r="Q21" s="11"/>
      <c r="R21" s="11"/>
      <c r="S21" s="11"/>
      <c r="T21" s="343">
        <f t="shared" si="3"/>
        <v>14</v>
      </c>
      <c r="U21" s="146" t="s">
        <v>875</v>
      </c>
      <c r="V21" s="356"/>
      <c r="W21" s="356"/>
    </row>
    <row r="22" spans="1:23" x14ac:dyDescent="0.25">
      <c r="A22" s="14">
        <v>15</v>
      </c>
      <c r="B22" s="226">
        <f t="shared" si="0"/>
        <v>1</v>
      </c>
      <c r="C22" s="11">
        <v>0.5</v>
      </c>
      <c r="D22" s="11">
        <v>0.5</v>
      </c>
      <c r="E22" s="11"/>
      <c r="F22" s="11"/>
      <c r="G22" s="11"/>
      <c r="H22" s="11"/>
      <c r="I22" s="11"/>
      <c r="J22" s="10" t="str">
        <f t="shared" ca="1" si="1"/>
        <v>Incomplete</v>
      </c>
      <c r="L22" s="14">
        <f t="shared" si="2"/>
        <v>15</v>
      </c>
      <c r="M22" s="11" t="str">
        <f>IF('15'!A8="","",'15'!A8)</f>
        <v/>
      </c>
      <c r="N22" s="11" t="str">
        <f>IF('15'!A12="","",'15'!A12)</f>
        <v/>
      </c>
      <c r="O22" s="11"/>
      <c r="P22" s="11"/>
      <c r="Q22" s="11"/>
      <c r="R22" s="11"/>
      <c r="S22" s="11"/>
      <c r="T22" s="343">
        <f t="shared" si="3"/>
        <v>15</v>
      </c>
      <c r="U22" s="146" t="s">
        <v>876</v>
      </c>
      <c r="V22" s="356"/>
      <c r="W22" s="356"/>
    </row>
    <row r="23" spans="1:23" x14ac:dyDescent="0.25">
      <c r="A23" s="14">
        <v>16</v>
      </c>
      <c r="B23" s="226">
        <f t="shared" si="0"/>
        <v>6.5</v>
      </c>
      <c r="C23" s="11">
        <v>1</v>
      </c>
      <c r="D23" s="11">
        <v>1.75</v>
      </c>
      <c r="E23" s="11">
        <v>1.5</v>
      </c>
      <c r="F23" s="11">
        <v>1</v>
      </c>
      <c r="G23" s="11">
        <v>1.25</v>
      </c>
      <c r="H23" s="11"/>
      <c r="I23" s="11"/>
      <c r="J23" s="10" t="str">
        <f t="shared" ca="1" si="1"/>
        <v>Incomplete</v>
      </c>
      <c r="L23" s="14">
        <f t="shared" si="2"/>
        <v>16</v>
      </c>
      <c r="M23" s="11" t="str">
        <f>IF('16'!A78="","",'16'!A78)</f>
        <v/>
      </c>
      <c r="N23" s="11" t="str">
        <f>IF('16'!A82="","",'16'!A82)</f>
        <v/>
      </c>
      <c r="O23" s="11" t="str">
        <f>IF('16'!A89="","",'16'!A89)</f>
        <v/>
      </c>
      <c r="P23" s="11" t="str">
        <f>IF('16'!A96="","",'16'!A96)</f>
        <v/>
      </c>
      <c r="Q23" s="11" t="str">
        <f>IF('16'!A96="","",'16'!A96)</f>
        <v/>
      </c>
      <c r="R23" s="11"/>
      <c r="S23" s="11"/>
      <c r="T23" s="357">
        <f t="shared" si="3"/>
        <v>16</v>
      </c>
      <c r="U23" s="358" t="s">
        <v>1195</v>
      </c>
      <c r="V23" s="358"/>
      <c r="W23" s="358"/>
    </row>
    <row r="24" spans="1:23" x14ac:dyDescent="0.25">
      <c r="A24" s="14">
        <v>17</v>
      </c>
      <c r="B24" s="226">
        <f t="shared" si="0"/>
        <v>7.75</v>
      </c>
      <c r="C24" s="11">
        <v>2.25</v>
      </c>
      <c r="D24" s="11">
        <v>5</v>
      </c>
      <c r="E24" s="11">
        <v>0.5</v>
      </c>
      <c r="F24" s="11"/>
      <c r="G24" s="11"/>
      <c r="H24" s="11"/>
      <c r="I24" s="11"/>
      <c r="J24" s="10" t="str">
        <f t="shared" ca="1" si="1"/>
        <v>Incomplete</v>
      </c>
      <c r="L24" s="14">
        <f t="shared" si="2"/>
        <v>17</v>
      </c>
      <c r="M24" s="11" t="str">
        <f>IF('17'!$A8="","",'17'!$A8)</f>
        <v/>
      </c>
      <c r="N24" s="11" t="str">
        <f>IF('17'!$A33="","",'17'!$A33)</f>
        <v/>
      </c>
      <c r="O24" s="11" t="str">
        <f>IF('17'!$A71="","",'17'!$A71)</f>
        <v/>
      </c>
      <c r="P24" s="11"/>
      <c r="Q24" s="11"/>
      <c r="R24" s="11"/>
      <c r="S24" s="11"/>
      <c r="T24" s="343">
        <f t="shared" si="3"/>
        <v>17</v>
      </c>
      <c r="U24" s="146" t="s">
        <v>877</v>
      </c>
      <c r="V24" s="356"/>
      <c r="W24" s="356"/>
    </row>
    <row r="25" spans="1:23" x14ac:dyDescent="0.25">
      <c r="A25" s="14">
        <v>18</v>
      </c>
      <c r="B25" s="226">
        <f t="shared" si="0"/>
        <v>2</v>
      </c>
      <c r="C25" s="11">
        <v>0.5</v>
      </c>
      <c r="D25" s="11">
        <v>0.75</v>
      </c>
      <c r="E25" s="11">
        <v>0.75</v>
      </c>
      <c r="F25" s="11"/>
      <c r="G25" s="11"/>
      <c r="H25" s="11"/>
      <c r="I25" s="11"/>
      <c r="J25" s="10" t="str">
        <f t="shared" ca="1" si="1"/>
        <v>Incomplete</v>
      </c>
      <c r="L25" s="14">
        <f t="shared" si="2"/>
        <v>18</v>
      </c>
      <c r="M25" s="11" t="str">
        <f>IF('18'!$A21="","",'18'!$A21)</f>
        <v/>
      </c>
      <c r="N25" s="11" t="str">
        <f>IF('18'!$A26="","",'18'!$A26)</f>
        <v/>
      </c>
      <c r="O25" s="11" t="str">
        <f>IF('18'!$A31="","",'18'!$A31)</f>
        <v/>
      </c>
      <c r="P25" s="11"/>
      <c r="Q25" s="11"/>
      <c r="R25" s="11"/>
      <c r="S25" s="11"/>
      <c r="T25" s="343">
        <f t="shared" si="3"/>
        <v>18</v>
      </c>
      <c r="U25" s="146" t="s">
        <v>1243</v>
      </c>
      <c r="V25" s="356"/>
      <c r="W25" s="356"/>
    </row>
    <row r="26" spans="1:23" x14ac:dyDescent="0.25">
      <c r="A26" s="14">
        <v>19</v>
      </c>
      <c r="B26" s="226">
        <f t="shared" si="0"/>
        <v>4.5</v>
      </c>
      <c r="C26" s="11">
        <v>0.5</v>
      </c>
      <c r="D26" s="11">
        <v>1.25</v>
      </c>
      <c r="E26" s="11">
        <v>0.5</v>
      </c>
      <c r="F26" s="11">
        <v>0.5</v>
      </c>
      <c r="G26" s="11">
        <v>0.5</v>
      </c>
      <c r="H26" s="11">
        <v>0.25</v>
      </c>
      <c r="I26" s="11">
        <v>1</v>
      </c>
      <c r="J26" s="10" t="str">
        <f t="shared" ca="1" si="1"/>
        <v>Incomplete</v>
      </c>
      <c r="L26" s="14">
        <f t="shared" si="2"/>
        <v>19</v>
      </c>
      <c r="M26" s="11" t="str">
        <f>IF('19'!$A16="","",'19'!$A16)</f>
        <v/>
      </c>
      <c r="N26" s="11" t="str">
        <f>IF('19'!$A20="","",'19'!$A20)</f>
        <v/>
      </c>
      <c r="O26" s="11" t="str">
        <f>IF('19'!$A33="","",'19'!$A33)</f>
        <v/>
      </c>
      <c r="P26" s="11" t="str">
        <f>IF('19'!$A37="","",'19'!$A37)</f>
        <v/>
      </c>
      <c r="Q26" s="11" t="str">
        <f>IF('19'!$A41="","",'19'!$A41)</f>
        <v/>
      </c>
      <c r="R26" s="11" t="str">
        <f>IF('19'!$A45="","",'19'!$A45)</f>
        <v/>
      </c>
      <c r="S26" s="11" t="str">
        <f>IF('19'!$A50="","",'19'!$A50)</f>
        <v/>
      </c>
      <c r="T26" s="343">
        <f t="shared" si="3"/>
        <v>19</v>
      </c>
      <c r="U26" s="146" t="s">
        <v>878</v>
      </c>
      <c r="V26" s="356"/>
      <c r="W26" s="356"/>
    </row>
    <row r="27" spans="1:23" x14ac:dyDescent="0.25">
      <c r="A27" s="14">
        <v>20</v>
      </c>
      <c r="B27" s="226">
        <f t="shared" si="0"/>
        <v>3</v>
      </c>
      <c r="C27" s="11">
        <v>0.75</v>
      </c>
      <c r="D27" s="11">
        <v>1</v>
      </c>
      <c r="E27" s="11">
        <v>0.75</v>
      </c>
      <c r="F27" s="11">
        <v>0.5</v>
      </c>
      <c r="G27" s="11"/>
      <c r="H27" s="11"/>
      <c r="I27" s="11"/>
      <c r="J27" s="10" t="str">
        <f t="shared" ref="J27:J35" ca="1" si="4">INDIRECT("'"&amp;A27&amp;"'!B1")</f>
        <v>Incomplete</v>
      </c>
      <c r="L27" s="14">
        <f t="shared" ref="L27:L35" si="5">A27</f>
        <v>20</v>
      </c>
      <c r="M27" s="11" t="str">
        <f>IF('20'!$A44="","",'19'!$A44)</f>
        <v/>
      </c>
      <c r="N27" s="11" t="str">
        <f>IF('20'!$A48="","",'19'!$A48)</f>
        <v/>
      </c>
      <c r="O27" s="11" t="str">
        <f>IF('20'!$A52="","",'20'!$A52)</f>
        <v/>
      </c>
      <c r="P27" s="11" t="str">
        <f>IF('20'!$A56="","",'20'!$A56)</f>
        <v/>
      </c>
      <c r="Q27" s="11"/>
      <c r="R27" s="11"/>
      <c r="S27" s="11"/>
      <c r="T27" s="357">
        <f t="shared" si="3"/>
        <v>20</v>
      </c>
      <c r="U27" s="358" t="s">
        <v>1196</v>
      </c>
      <c r="V27" s="358"/>
      <c r="W27" s="358"/>
    </row>
    <row r="28" spans="1:23" x14ac:dyDescent="0.25">
      <c r="A28" s="14">
        <v>21</v>
      </c>
      <c r="B28" s="226">
        <f t="shared" si="0"/>
        <v>3.5</v>
      </c>
      <c r="C28" s="11">
        <v>0.5</v>
      </c>
      <c r="D28" s="11">
        <v>1.5</v>
      </c>
      <c r="E28" s="11">
        <v>1.5</v>
      </c>
      <c r="F28" s="11"/>
      <c r="G28" s="11"/>
      <c r="H28" s="11"/>
      <c r="I28" s="11"/>
      <c r="J28" s="10" t="str">
        <f t="shared" ca="1" si="4"/>
        <v>Incomplete</v>
      </c>
      <c r="L28" s="14">
        <f t="shared" si="5"/>
        <v>21</v>
      </c>
      <c r="M28" s="11" t="str">
        <f>IF('21'!$A8="","",'21'!$A8)</f>
        <v/>
      </c>
      <c r="N28" s="11" t="str">
        <f>IF('21'!$A13="","",'21'!$A13)</f>
        <v/>
      </c>
      <c r="O28" s="11" t="str">
        <f>IF('21'!$A19="","",'21'!$A19)</f>
        <v/>
      </c>
      <c r="P28" s="11"/>
      <c r="Q28" s="11"/>
      <c r="R28" s="11"/>
      <c r="S28" s="11"/>
      <c r="T28" s="343">
        <f t="shared" si="3"/>
        <v>21</v>
      </c>
      <c r="U28" s="146" t="s">
        <v>879</v>
      </c>
      <c r="V28" s="356"/>
      <c r="W28" s="356"/>
    </row>
    <row r="29" spans="1:23" x14ac:dyDescent="0.25">
      <c r="A29" s="14">
        <v>22</v>
      </c>
      <c r="B29" s="226">
        <f t="shared" si="0"/>
        <v>2</v>
      </c>
      <c r="C29" s="11">
        <v>0.5</v>
      </c>
      <c r="D29" s="11">
        <v>0.5</v>
      </c>
      <c r="E29" s="11">
        <v>0.25</v>
      </c>
      <c r="F29" s="11">
        <v>0.75</v>
      </c>
      <c r="G29" s="11"/>
      <c r="H29" s="11"/>
      <c r="I29" s="11"/>
      <c r="J29" s="10" t="str">
        <f t="shared" ca="1" si="4"/>
        <v>Incomplete</v>
      </c>
      <c r="L29" s="14">
        <f t="shared" si="5"/>
        <v>22</v>
      </c>
      <c r="M29" s="11" t="str">
        <f>IF('22'!$A11="","",'22'!$A11)</f>
        <v/>
      </c>
      <c r="N29" s="11" t="str">
        <f>IF('22'!$A15="","",'22'!$A15)</f>
        <v/>
      </c>
      <c r="O29" s="11" t="str">
        <f>IF('22'!$A21="","",'22'!$A21)</f>
        <v/>
      </c>
      <c r="P29" s="11" t="str">
        <f>IF('22'!$A25="","",'22'!$A25)</f>
        <v/>
      </c>
      <c r="Q29" s="11"/>
      <c r="R29" s="11"/>
      <c r="S29" s="11"/>
      <c r="T29" s="343">
        <f t="shared" si="3"/>
        <v>22</v>
      </c>
      <c r="U29" s="146" t="s">
        <v>880</v>
      </c>
      <c r="V29" s="356"/>
      <c r="W29" s="356"/>
    </row>
    <row r="30" spans="1:23" x14ac:dyDescent="0.25">
      <c r="A30" s="18">
        <v>23</v>
      </c>
      <c r="B30" s="226">
        <f t="shared" si="0"/>
        <v>4.5</v>
      </c>
      <c r="C30" s="11">
        <v>0.75</v>
      </c>
      <c r="D30" s="11">
        <v>1</v>
      </c>
      <c r="E30" s="11">
        <v>1</v>
      </c>
      <c r="F30" s="11">
        <v>0.75</v>
      </c>
      <c r="G30" s="11">
        <v>1</v>
      </c>
      <c r="H30" s="11"/>
      <c r="I30" s="11"/>
      <c r="J30" s="10" t="str">
        <f t="shared" ca="1" si="4"/>
        <v>Incomplete</v>
      </c>
      <c r="L30" s="14">
        <f t="shared" si="5"/>
        <v>23</v>
      </c>
      <c r="M30" s="11" t="str">
        <f>IF('23'!$A20="","",'23'!$A20)</f>
        <v/>
      </c>
      <c r="N30" s="11" t="str">
        <f>IF('23'!$A24="","",'23'!$A24)</f>
        <v/>
      </c>
      <c r="O30" s="11" t="str">
        <f>IF('23'!$A28="","",'23'!$A28)</f>
        <v/>
      </c>
      <c r="P30" s="11" t="str">
        <f>IF('23'!$A32="","",'23'!$A32)</f>
        <v/>
      </c>
      <c r="Q30" s="11" t="str">
        <f>IF('23'!A36="","",'23'!A36)</f>
        <v/>
      </c>
      <c r="R30" s="11"/>
      <c r="S30" s="11"/>
      <c r="T30" s="343">
        <f t="shared" si="3"/>
        <v>23</v>
      </c>
      <c r="U30" s="146" t="s">
        <v>1281</v>
      </c>
      <c r="V30" s="356"/>
      <c r="W30" s="356"/>
    </row>
    <row r="31" spans="1:23" x14ac:dyDescent="0.25">
      <c r="A31" s="18">
        <v>24</v>
      </c>
      <c r="B31" s="226">
        <f t="shared" si="0"/>
        <v>3.75</v>
      </c>
      <c r="C31" s="11">
        <v>0.5</v>
      </c>
      <c r="D31" s="11">
        <v>0.5</v>
      </c>
      <c r="E31" s="11">
        <v>1</v>
      </c>
      <c r="F31" s="11">
        <v>1</v>
      </c>
      <c r="G31" s="11">
        <v>0.75</v>
      </c>
      <c r="H31" s="11"/>
      <c r="I31" s="11"/>
      <c r="J31" s="10" t="str">
        <f t="shared" ca="1" si="4"/>
        <v>Incomplete</v>
      </c>
      <c r="L31" s="14">
        <f t="shared" si="5"/>
        <v>24</v>
      </c>
      <c r="M31" s="11" t="str">
        <f>IF('24'!$A14="","",'24'!$A14)</f>
        <v/>
      </c>
      <c r="N31" s="11" t="str">
        <f>IF('24'!$A18="","",'24'!$A18)</f>
        <v/>
      </c>
      <c r="O31" s="11" t="str">
        <f>IF('24'!$A22="","",'24'!$A22)</f>
        <v/>
      </c>
      <c r="P31" s="11" t="str">
        <f>IF('24'!$A27="","",'24'!$A27)</f>
        <v/>
      </c>
      <c r="Q31" s="11" t="str">
        <f>IF('24'!$A31="","",'24'!$A31)</f>
        <v/>
      </c>
      <c r="R31" s="11"/>
      <c r="S31" s="11"/>
      <c r="T31" s="357">
        <f t="shared" si="3"/>
        <v>24</v>
      </c>
      <c r="U31" s="358" t="s">
        <v>1280</v>
      </c>
      <c r="V31" s="358"/>
      <c r="W31" s="358"/>
    </row>
    <row r="32" spans="1:23" x14ac:dyDescent="0.25">
      <c r="A32" s="14">
        <v>25</v>
      </c>
      <c r="B32" s="226">
        <f t="shared" si="0"/>
        <v>2.25</v>
      </c>
      <c r="C32" s="11">
        <v>1</v>
      </c>
      <c r="D32" s="11">
        <v>0.75</v>
      </c>
      <c r="E32" s="11">
        <v>0.5</v>
      </c>
      <c r="F32" s="11"/>
      <c r="G32" s="11"/>
      <c r="H32" s="11"/>
      <c r="I32" s="11"/>
      <c r="J32" s="10" t="str">
        <f t="shared" ca="1" si="4"/>
        <v>Incomplete</v>
      </c>
      <c r="L32" s="14">
        <f t="shared" si="5"/>
        <v>25</v>
      </c>
      <c r="M32" s="11" t="str">
        <f>IF('25'!$A13="","",'25'!$A13)</f>
        <v/>
      </c>
      <c r="N32" s="11" t="str">
        <f>IF('25'!$A17="","",'25'!$A17)</f>
        <v/>
      </c>
      <c r="O32" s="11" t="str">
        <f>IF('25'!$A21="","",'25'!$A21)</f>
        <v/>
      </c>
      <c r="P32" s="11"/>
      <c r="Q32" s="11"/>
      <c r="R32" s="11"/>
      <c r="S32" s="11"/>
      <c r="T32" s="343">
        <f t="shared" si="3"/>
        <v>25</v>
      </c>
      <c r="U32" s="146" t="s">
        <v>892</v>
      </c>
      <c r="V32" s="356"/>
      <c r="W32" s="356"/>
    </row>
    <row r="33" spans="1:23" x14ac:dyDescent="0.25">
      <c r="A33" s="14">
        <v>26</v>
      </c>
      <c r="B33" s="226">
        <f t="shared" si="0"/>
        <v>2</v>
      </c>
      <c r="C33" s="11">
        <v>0.5</v>
      </c>
      <c r="D33" s="11">
        <v>1.5</v>
      </c>
      <c r="E33" s="11"/>
      <c r="F33" s="11"/>
      <c r="G33" s="11"/>
      <c r="H33" s="11"/>
      <c r="I33" s="11"/>
      <c r="J33" s="10" t="str">
        <f t="shared" ca="1" si="4"/>
        <v>Incomplete</v>
      </c>
      <c r="L33" s="14">
        <f t="shared" si="5"/>
        <v>26</v>
      </c>
      <c r="M33" s="11" t="str">
        <f>IF('26'!$A8="","",'26'!$A8)</f>
        <v/>
      </c>
      <c r="N33" s="11" t="str">
        <f>IF('26'!$A12="","",'26'!$A12)</f>
        <v/>
      </c>
      <c r="O33" s="11"/>
      <c r="P33" s="11"/>
      <c r="Q33" s="11"/>
      <c r="R33" s="11"/>
      <c r="S33" s="11"/>
      <c r="T33" s="343">
        <f t="shared" si="3"/>
        <v>26</v>
      </c>
      <c r="U33" s="146" t="s">
        <v>881</v>
      </c>
      <c r="V33" s="356"/>
      <c r="W33" s="356"/>
    </row>
    <row r="34" spans="1:23" x14ac:dyDescent="0.25">
      <c r="A34" s="14">
        <v>27</v>
      </c>
      <c r="B34" s="226">
        <f t="shared" si="0"/>
        <v>2.75</v>
      </c>
      <c r="C34" s="11">
        <v>0.75</v>
      </c>
      <c r="D34" s="11">
        <v>1</v>
      </c>
      <c r="E34" s="11">
        <v>0.5</v>
      </c>
      <c r="F34" s="11">
        <v>0.5</v>
      </c>
      <c r="G34" s="11"/>
      <c r="H34" s="11"/>
      <c r="I34" s="11"/>
      <c r="J34" s="10" t="str">
        <f t="shared" ca="1" si="4"/>
        <v>Incomplete</v>
      </c>
      <c r="L34" s="14">
        <f t="shared" si="5"/>
        <v>27</v>
      </c>
      <c r="M34" s="11" t="str">
        <f>IF('27'!$A8="","",'27'!$A8)</f>
        <v/>
      </c>
      <c r="N34" s="11" t="str">
        <f>IF('27'!$A22="","",'27'!$A22)</f>
        <v/>
      </c>
      <c r="O34" s="11" t="str">
        <f>IF('27'!$A26="","",'27'!$A26)</f>
        <v/>
      </c>
      <c r="P34" s="11" t="str">
        <f>IF('27'!$A30="","",'27'!$A30)</f>
        <v/>
      </c>
      <c r="Q34" s="11"/>
      <c r="R34" s="11"/>
      <c r="S34" s="11"/>
      <c r="T34" s="343">
        <f t="shared" si="3"/>
        <v>27</v>
      </c>
      <c r="U34" s="146" t="s">
        <v>882</v>
      </c>
      <c r="V34" s="356"/>
      <c r="W34" s="356"/>
    </row>
    <row r="35" spans="1:23" x14ac:dyDescent="0.25">
      <c r="A35" s="18">
        <v>28</v>
      </c>
      <c r="B35" s="226">
        <f t="shared" si="0"/>
        <v>2.25</v>
      </c>
      <c r="C35" s="11">
        <v>0.5</v>
      </c>
      <c r="D35" s="11">
        <v>1</v>
      </c>
      <c r="E35" s="11">
        <v>0.75</v>
      </c>
      <c r="F35" s="11"/>
      <c r="G35" s="11"/>
      <c r="H35" s="11"/>
      <c r="I35" s="11"/>
      <c r="J35" s="10" t="str">
        <f t="shared" ca="1" si="4"/>
        <v>Incomplete</v>
      </c>
      <c r="L35" s="14">
        <f t="shared" si="5"/>
        <v>28</v>
      </c>
      <c r="M35" s="11" t="str">
        <f>IF('28'!$A8="","",'28'!$A8)</f>
        <v/>
      </c>
      <c r="N35" s="11" t="str">
        <f>IF('28'!$A12="","",'28'!$A12)</f>
        <v/>
      </c>
      <c r="O35" s="11" t="str">
        <f>IF('28'!$A24="","",'28'!$A24)</f>
        <v/>
      </c>
      <c r="P35" s="11"/>
      <c r="Q35" s="11"/>
      <c r="R35" s="11"/>
      <c r="S35" s="11"/>
      <c r="T35" s="357">
        <f t="shared" si="3"/>
        <v>28</v>
      </c>
      <c r="U35" s="358" t="s">
        <v>883</v>
      </c>
      <c r="V35" s="358"/>
      <c r="W35" s="358"/>
    </row>
  </sheetData>
  <mergeCells count="1">
    <mergeCell ref="B6:B7"/>
  </mergeCells>
  <conditionalFormatting sqref="B8:I35">
    <cfRule type="containsBlanks" dxfId="112" priority="1">
      <formula>LEN(TRIM(B8))=0</formula>
    </cfRule>
  </conditionalFormatting>
  <conditionalFormatting sqref="J8:J35">
    <cfRule type="cellIs" dxfId="111" priority="271" operator="equal">
      <formula>"Finished"</formula>
    </cfRule>
    <cfRule type="cellIs" dxfId="110" priority="272" operator="equal">
      <formula>"Flag for Review"</formula>
    </cfRule>
    <cfRule type="cellIs" dxfId="109" priority="273" operator="equal">
      <formula>"Incomplete"</formula>
    </cfRule>
  </conditionalFormatting>
  <conditionalFormatting sqref="M8:S35">
    <cfRule type="expression" dxfId="108" priority="2">
      <formula>C8=""</formula>
    </cfRule>
    <cfRule type="expression" dxfId="107" priority="3">
      <formula>M8/C8&gt;=0.75</formula>
    </cfRule>
    <cfRule type="expression" dxfId="106" priority="4">
      <formula>M8/C8&gt;=0.65</formula>
    </cfRule>
    <cfRule type="expression" dxfId="105" priority="5">
      <formula>M8/C8&gt;=0</formula>
    </cfRule>
  </conditionalFormatting>
  <conditionalFormatting sqref="P2">
    <cfRule type="expression" dxfId="104" priority="110">
      <formula>LEN(P2)=0</formula>
    </cfRule>
    <cfRule type="cellIs" dxfId="103" priority="268" operator="greaterThanOrEqual">
      <formula>0.75</formula>
    </cfRule>
    <cfRule type="cellIs" dxfId="102" priority="269" operator="greaterThanOrEqual">
      <formula>0.65</formula>
    </cfRule>
    <cfRule type="cellIs" dxfId="101" priority="270" operator="greaterThanOrEqual">
      <formula>0</formula>
    </cfRule>
  </conditionalFormatting>
  <hyperlinks>
    <hyperlink ref="L8" location="'1'!A1" display="'1'!A1"/>
    <hyperlink ref="L9" location="'2'!A1" display="'2'!A1"/>
    <hyperlink ref="L10" location="'3'!A1" display="'3'!A1"/>
    <hyperlink ref="L11" location="'4'!A1" display="'4'!A1"/>
    <hyperlink ref="L12" location="'5'!A1" display="'5'!A1"/>
    <hyperlink ref="L13" location="'6'!A1" display="'6'!A1"/>
    <hyperlink ref="L14" location="'7'!A1" display="'7'!A1"/>
    <hyperlink ref="L15" location="'8'!A1" display="'8'!A1"/>
    <hyperlink ref="L16" location="'9'!A1" display="'9'!A1"/>
    <hyperlink ref="L17" location="'10'!A1" display="'10'!A1"/>
    <hyperlink ref="L18" location="'11'!A1" display="'11'!A1"/>
    <hyperlink ref="L19" location="'12'!A1" display="'12'!A1"/>
    <hyperlink ref="L20" location="'13'!A1" display="'13'!A1"/>
    <hyperlink ref="L21" location="'14'!A1" display="'14'!A1"/>
    <hyperlink ref="L22" location="'15'!A1" display="'15'!A1"/>
    <hyperlink ref="L23" location="'16'!A1" display="'16'!A1"/>
    <hyperlink ref="L24" location="'17'!A1" display="'17'!A1"/>
    <hyperlink ref="L25" location="'18'!A1" display="'18'!A1"/>
    <hyperlink ref="A8" location="'1'!A1" display="'1'!A1"/>
    <hyperlink ref="A9" location="'2'!A1" display="'2'!A1"/>
    <hyperlink ref="A10" location="'3'!A1" display="'3'!A1"/>
    <hyperlink ref="A11" location="'4'!A1" display="'4'!A1"/>
    <hyperlink ref="A12" location="'5'!A1" display="'5'!A1"/>
    <hyperlink ref="A13" location="'6'!A1" display="'6'!A1"/>
    <hyperlink ref="A14" location="'7'!A1" display="'7'!A1"/>
    <hyperlink ref="A15" location="'8'!A1" display="'8'!A1"/>
    <hyperlink ref="A16" location="'9'!A1" display="'9'!A1"/>
    <hyperlink ref="A17" location="'10'!A1" display="'10'!A1"/>
    <hyperlink ref="A18" location="'11'!A1" display="'11'!A1"/>
    <hyperlink ref="A19" location="'12'!A1" display="'12'!A1"/>
    <hyperlink ref="A20" location="'13'!A1" display="'13'!A1"/>
    <hyperlink ref="A21" location="'14'!A1" display="'14'!A1"/>
    <hyperlink ref="A22" location="'15'!A1" display="'15'!A1"/>
    <hyperlink ref="A23" location="'16'!A1" display="'16'!A1"/>
    <hyperlink ref="A24" location="'17'!A1" display="'17'!A1"/>
    <hyperlink ref="A25" location="'18'!A1" display="'18'!A1"/>
    <hyperlink ref="L27" location="'20'!A1" display="'20'!A1"/>
    <hyperlink ref="L28" location="'21'!A1" display="'21'!A1"/>
    <hyperlink ref="L29" location="'22'!A1" display="'22'!A1"/>
    <hyperlink ref="L30" location="'23'!A1" display="'23'!A1"/>
    <hyperlink ref="L31" location="'24'!A1" display="'24'!A1"/>
    <hyperlink ref="L32" location="'25'!A1" display="'25'!A1"/>
    <hyperlink ref="L33" location="'26'!A1" display="'26'!A1"/>
    <hyperlink ref="L34" location="'27'!A1" display="'27'!A1"/>
    <hyperlink ref="L35" location="'28'!A1" display="'28'!A1"/>
    <hyperlink ref="A26" location="'19'!A1" display="19"/>
    <hyperlink ref="L26" location="'19'!A1" display="'19'!A1"/>
    <hyperlink ref="A27" location="'20'!A1" display="20"/>
    <hyperlink ref="A28" location="'21'!A1" display="21"/>
    <hyperlink ref="A29" location="'22'!A1" display="22"/>
    <hyperlink ref="A30" location="'23'!A1" display="23"/>
    <hyperlink ref="A31" location="'24'!A1" display="24"/>
    <hyperlink ref="A32" location="'25'!A1" display="25"/>
    <hyperlink ref="A33" location="'26'!A1" display="26"/>
    <hyperlink ref="A34" location="'27'!A1" display="27"/>
    <hyperlink ref="A35" location="'28'!A1" display="28"/>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37"/>
  <sheetViews>
    <sheetView workbookViewId="0"/>
  </sheetViews>
  <sheetFormatPr defaultColWidth="9.140625" defaultRowHeight="15" x14ac:dyDescent="0.25"/>
  <cols>
    <col min="1" max="1" width="8.7109375" style="29" customWidth="1"/>
    <col min="2" max="2" width="16.7109375" style="29" customWidth="1"/>
    <col min="3" max="10" width="9.42578125" style="29" customWidth="1"/>
    <col min="11" max="11" width="10.7109375" style="29" customWidth="1"/>
    <col min="12" max="16384" width="9.140625" style="29"/>
  </cols>
  <sheetData>
    <row r="1" spans="1:26" x14ac:dyDescent="0.25">
      <c r="A1" s="7">
        <v>18</v>
      </c>
      <c r="B1" s="41" t="s">
        <v>12</v>
      </c>
      <c r="C1" s="28"/>
      <c r="D1" s="28"/>
      <c r="E1" s="28"/>
      <c r="F1" s="28"/>
      <c r="G1" s="28"/>
      <c r="H1" s="27"/>
      <c r="I1" s="36"/>
      <c r="J1" s="36"/>
      <c r="K1" s="50" t="s">
        <v>30</v>
      </c>
      <c r="M1" s="29" t="s">
        <v>54</v>
      </c>
      <c r="N1" s="70" t="s">
        <v>1243</v>
      </c>
    </row>
    <row r="2" spans="1:26" ht="23.25" x14ac:dyDescent="0.25">
      <c r="A2" s="30"/>
      <c r="B2" s="27"/>
      <c r="C2" s="27"/>
      <c r="D2" s="27"/>
      <c r="E2" s="27"/>
      <c r="F2" s="27"/>
      <c r="G2" s="27"/>
      <c r="H2" s="36"/>
      <c r="I2" s="36"/>
      <c r="J2" s="27"/>
      <c r="K2" s="31"/>
      <c r="M2"/>
      <c r="N2"/>
      <c r="O2"/>
      <c r="P2"/>
      <c r="Q2"/>
      <c r="R2"/>
      <c r="S2"/>
      <c r="T2"/>
      <c r="U2"/>
      <c r="V2"/>
      <c r="Z2" s="369"/>
    </row>
    <row r="3" spans="1:26" x14ac:dyDescent="0.25">
      <c r="A3" s="8" t="s">
        <v>13</v>
      </c>
      <c r="B3" s="27" t="s">
        <v>1282</v>
      </c>
      <c r="C3" s="27"/>
      <c r="D3" s="27"/>
      <c r="E3" s="27"/>
      <c r="F3" s="27"/>
      <c r="G3" s="27"/>
      <c r="H3" s="27"/>
      <c r="I3" s="27"/>
      <c r="J3" s="27"/>
      <c r="K3" s="31"/>
      <c r="M3" s="1" t="s">
        <v>1300</v>
      </c>
      <c r="O3"/>
      <c r="P3"/>
      <c r="Q3"/>
      <c r="R3"/>
      <c r="S3"/>
      <c r="T3"/>
      <c r="U3"/>
      <c r="V3"/>
      <c r="Z3"/>
    </row>
    <row r="4" spans="1:26" x14ac:dyDescent="0.25">
      <c r="A4" s="9">
        <f>INDEX('Point Grid'!B:B,MATCH($A$1,'Point Grid'!A:A,0))</f>
        <v>2</v>
      </c>
      <c r="B4" s="27"/>
      <c r="C4" s="27"/>
      <c r="D4" s="27"/>
      <c r="E4" s="27"/>
      <c r="F4" s="27"/>
      <c r="G4" s="27"/>
      <c r="H4" s="27"/>
      <c r="I4" s="27"/>
      <c r="J4" s="27"/>
      <c r="K4" s="31"/>
      <c r="M4" t="s">
        <v>1298</v>
      </c>
      <c r="N4" s="355">
        <f>G7/G6</f>
        <v>0.8</v>
      </c>
      <c r="O4"/>
      <c r="P4"/>
      <c r="Q4"/>
      <c r="R4"/>
      <c r="S4"/>
      <c r="T4"/>
      <c r="U4"/>
      <c r="V4"/>
      <c r="Z4"/>
    </row>
    <row r="5" spans="1:26" x14ac:dyDescent="0.25">
      <c r="A5" s="9"/>
      <c r="B5" s="27" t="s">
        <v>1294</v>
      </c>
      <c r="C5" s="27"/>
      <c r="D5" s="27"/>
      <c r="E5" s="27"/>
      <c r="F5" s="27"/>
      <c r="G5" s="27"/>
      <c r="H5" s="27"/>
      <c r="I5" s="27"/>
      <c r="J5" s="27"/>
      <c r="K5" s="31"/>
      <c r="M5" t="s">
        <v>1299</v>
      </c>
      <c r="N5" s="355">
        <f>(G7 + G11)/(G6 + G9)</f>
        <v>0.69417475728155342</v>
      </c>
      <c r="O5"/>
      <c r="P5"/>
      <c r="Q5"/>
      <c r="R5"/>
      <c r="S5"/>
      <c r="T5"/>
      <c r="U5"/>
      <c r="V5"/>
      <c r="Z5"/>
    </row>
    <row r="6" spans="1:26" x14ac:dyDescent="0.25">
      <c r="A6" s="30"/>
      <c r="B6" s="27" t="s">
        <v>1284</v>
      </c>
      <c r="C6" s="27"/>
      <c r="D6" s="27"/>
      <c r="E6" s="27"/>
      <c r="F6" s="27"/>
      <c r="G6" s="52">
        <v>850000</v>
      </c>
      <c r="H6" s="27"/>
      <c r="I6" s="27"/>
      <c r="J6" s="27"/>
      <c r="K6" s="31"/>
      <c r="M6"/>
      <c r="N6"/>
      <c r="O6"/>
      <c r="P6"/>
      <c r="Q6"/>
      <c r="R6"/>
      <c r="S6"/>
      <c r="T6"/>
      <c r="U6"/>
      <c r="V6"/>
      <c r="Z6" s="359"/>
    </row>
    <row r="7" spans="1:26" ht="15" customHeight="1" x14ac:dyDescent="0.25">
      <c r="A7" s="35"/>
      <c r="B7" s="27" t="s">
        <v>1283</v>
      </c>
      <c r="C7" s="27"/>
      <c r="D7" s="27"/>
      <c r="E7" s="27"/>
      <c r="F7" s="27"/>
      <c r="G7" s="52">
        <v>680000</v>
      </c>
      <c r="H7" s="27"/>
      <c r="I7" s="27"/>
      <c r="J7" s="27"/>
      <c r="K7" s="31"/>
      <c r="M7" s="1" t="s">
        <v>1303</v>
      </c>
      <c r="N7"/>
      <c r="O7"/>
      <c r="P7"/>
      <c r="Q7"/>
      <c r="R7"/>
      <c r="S7"/>
      <c r="T7"/>
      <c r="U7"/>
      <c r="V7"/>
      <c r="Z7" s="359"/>
    </row>
    <row r="8" spans="1:26" ht="15" customHeight="1" x14ac:dyDescent="0.25">
      <c r="A8" s="9"/>
      <c r="B8" s="27" t="s">
        <v>1285</v>
      </c>
      <c r="C8" s="27"/>
      <c r="D8" s="27"/>
      <c r="E8" s="27"/>
      <c r="F8" s="27"/>
      <c r="G8" s="52">
        <v>95000</v>
      </c>
      <c r="H8" s="27"/>
      <c r="I8" s="27"/>
      <c r="J8" s="27"/>
      <c r="K8" s="31"/>
      <c r="M8" t="s">
        <v>1301</v>
      </c>
      <c r="N8"/>
      <c r="O8"/>
      <c r="P8"/>
      <c r="Q8" s="355">
        <f>(G7 + G8 - G10 -G16)/(G6 + G9)</f>
        <v>0.61019417475728155</v>
      </c>
      <c r="R8"/>
      <c r="S8"/>
      <c r="T8"/>
      <c r="U8"/>
      <c r="V8"/>
      <c r="Z8" s="359"/>
    </row>
    <row r="9" spans="1:26" ht="15" customHeight="1" x14ac:dyDescent="0.25">
      <c r="A9" s="27"/>
      <c r="B9" s="27" t="s">
        <v>1286</v>
      </c>
      <c r="C9" s="27"/>
      <c r="D9" s="27"/>
      <c r="E9" s="27"/>
      <c r="F9" s="27"/>
      <c r="G9" s="52">
        <v>180000</v>
      </c>
      <c r="H9" s="27"/>
      <c r="I9" s="27"/>
      <c r="J9" s="27"/>
      <c r="K9" s="31"/>
      <c r="M9" t="s">
        <v>1302</v>
      </c>
      <c r="N9"/>
      <c r="O9"/>
      <c r="P9"/>
      <c r="Q9" s="355">
        <f>(G7 + G8 - G10 -G16 - (G14 +G15))/(G6 + G9)</f>
        <v>0.58495145631067957</v>
      </c>
      <c r="R9"/>
      <c r="S9"/>
      <c r="T9"/>
      <c r="U9"/>
      <c r="V9"/>
      <c r="Z9" s="359"/>
    </row>
    <row r="10" spans="1:26" ht="15" customHeight="1" x14ac:dyDescent="0.25">
      <c r="A10" s="36"/>
      <c r="B10" s="27" t="s">
        <v>1287</v>
      </c>
      <c r="C10" s="27"/>
      <c r="D10" s="27"/>
      <c r="E10" s="27"/>
      <c r="F10" s="27"/>
      <c r="G10" s="52">
        <v>145000</v>
      </c>
      <c r="H10" s="27"/>
      <c r="I10" s="27"/>
      <c r="J10" s="27"/>
      <c r="K10" s="31"/>
      <c r="M10"/>
      <c r="N10"/>
      <c r="O10"/>
      <c r="P10"/>
      <c r="Q10"/>
      <c r="R10"/>
      <c r="S10"/>
      <c r="T10"/>
      <c r="U10"/>
      <c r="V10"/>
      <c r="W10"/>
      <c r="Z10" s="359"/>
    </row>
    <row r="11" spans="1:26" ht="15" customHeight="1" x14ac:dyDescent="0.25">
      <c r="A11" s="36"/>
      <c r="B11" s="27" t="s">
        <v>1288</v>
      </c>
      <c r="C11" s="27"/>
      <c r="D11" s="27"/>
      <c r="E11" s="27"/>
      <c r="F11" s="27"/>
      <c r="G11" s="52">
        <v>35000</v>
      </c>
      <c r="H11" s="27"/>
      <c r="I11" s="27"/>
      <c r="J11" s="27"/>
      <c r="K11" s="31"/>
      <c r="M11" t="s">
        <v>1304</v>
      </c>
      <c r="N11"/>
      <c r="O11"/>
      <c r="P11"/>
      <c r="Q11"/>
      <c r="R11"/>
      <c r="S11"/>
      <c r="T11"/>
      <c r="U11"/>
      <c r="V11"/>
      <c r="W11"/>
      <c r="Z11" s="359"/>
    </row>
    <row r="12" spans="1:26" ht="15" customHeight="1" x14ac:dyDescent="0.25">
      <c r="A12" s="36"/>
      <c r="B12" s="27" t="s">
        <v>1289</v>
      </c>
      <c r="C12" s="27"/>
      <c r="D12" s="27"/>
      <c r="E12" s="27"/>
      <c r="F12" s="27"/>
      <c r="G12" s="52">
        <v>78000</v>
      </c>
      <c r="H12" s="27"/>
      <c r="I12" s="27"/>
      <c r="J12" s="27"/>
      <c r="K12" s="31"/>
      <c r="M12"/>
      <c r="N12"/>
      <c r="O12"/>
      <c r="P12"/>
      <c r="Q12"/>
      <c r="R12"/>
      <c r="S12"/>
      <c r="T12"/>
      <c r="U12"/>
      <c r="V12"/>
      <c r="W12"/>
      <c r="Z12" s="359"/>
    </row>
    <row r="13" spans="1:26" ht="15" customHeight="1" x14ac:dyDescent="0.25">
      <c r="A13" s="36"/>
      <c r="B13" s="27" t="s">
        <v>1290</v>
      </c>
      <c r="C13" s="27"/>
      <c r="D13" s="27"/>
      <c r="E13" s="27"/>
      <c r="F13" s="27"/>
      <c r="G13" s="52">
        <v>12000</v>
      </c>
      <c r="H13" s="27"/>
      <c r="I13" s="27"/>
      <c r="J13" s="27"/>
      <c r="K13" s="31"/>
      <c r="M13" s="1" t="s">
        <v>1305</v>
      </c>
      <c r="N13"/>
      <c r="O13"/>
      <c r="P13"/>
      <c r="Q13"/>
      <c r="R13"/>
      <c r="S13"/>
      <c r="T13"/>
      <c r="U13"/>
      <c r="V13"/>
      <c r="W13"/>
      <c r="Z13" s="359"/>
    </row>
    <row r="14" spans="1:26" ht="15" customHeight="1" x14ac:dyDescent="0.25">
      <c r="A14" s="36"/>
      <c r="B14" s="27" t="s">
        <v>1291</v>
      </c>
      <c r="C14" s="27"/>
      <c r="D14" s="27"/>
      <c r="E14" s="27"/>
      <c r="F14" s="27"/>
      <c r="G14" s="52">
        <v>22000</v>
      </c>
      <c r="H14" s="27"/>
      <c r="I14" s="27"/>
      <c r="J14" s="27"/>
      <c r="K14" s="31"/>
      <c r="M14" t="s">
        <v>1306</v>
      </c>
      <c r="N14" s="355">
        <f>G11/G6</f>
        <v>4.1176470588235294E-2</v>
      </c>
      <c r="O14"/>
      <c r="P14"/>
      <c r="Q14"/>
      <c r="R14"/>
      <c r="S14"/>
      <c r="T14"/>
      <c r="U14"/>
      <c r="V14"/>
      <c r="W14"/>
      <c r="Z14" s="359"/>
    </row>
    <row r="15" spans="1:26" ht="15" customHeight="1" x14ac:dyDescent="0.25">
      <c r="A15" s="36"/>
      <c r="B15" s="27" t="s">
        <v>1292</v>
      </c>
      <c r="C15" s="27"/>
      <c r="D15" s="27"/>
      <c r="E15" s="27"/>
      <c r="F15" s="27"/>
      <c r="G15" s="52">
        <v>4000</v>
      </c>
      <c r="H15" s="27"/>
      <c r="I15" s="27"/>
      <c r="J15" s="27"/>
      <c r="K15" s="31"/>
      <c r="M15" t="s">
        <v>1249</v>
      </c>
      <c r="N15"/>
      <c r="O15"/>
      <c r="P15"/>
      <c r="Q15"/>
      <c r="R15"/>
      <c r="S15"/>
      <c r="T15"/>
      <c r="U15"/>
      <c r="V15"/>
      <c r="Z15" s="359"/>
    </row>
    <row r="16" spans="1:26" ht="15" customHeight="1" x14ac:dyDescent="0.25">
      <c r="A16" s="36"/>
      <c r="B16" s="27" t="s">
        <v>1293</v>
      </c>
      <c r="C16" s="39"/>
      <c r="D16" s="27"/>
      <c r="E16" s="27"/>
      <c r="F16" s="27"/>
      <c r="G16" s="52">
        <v>1500</v>
      </c>
      <c r="H16" s="27"/>
      <c r="I16" s="27"/>
      <c r="J16" s="27"/>
      <c r="K16" s="31"/>
      <c r="M16"/>
      <c r="N16"/>
      <c r="O16"/>
      <c r="P16"/>
      <c r="Q16"/>
      <c r="R16"/>
      <c r="S16"/>
      <c r="T16"/>
      <c r="U16"/>
      <c r="V16" s="1"/>
      <c r="Z16" s="359"/>
    </row>
    <row r="17" spans="1:26" ht="15" customHeight="1" x14ac:dyDescent="0.25">
      <c r="A17" s="36"/>
      <c r="B17" s="27"/>
      <c r="C17" s="39"/>
      <c r="D17" s="27"/>
      <c r="E17" s="27"/>
      <c r="F17" s="27"/>
      <c r="G17" s="52"/>
      <c r="H17" s="27"/>
      <c r="I17" s="27"/>
      <c r="J17" s="27"/>
      <c r="K17" s="31"/>
      <c r="M17"/>
      <c r="N17"/>
      <c r="O17"/>
      <c r="P17"/>
      <c r="Q17"/>
      <c r="R17"/>
      <c r="S17"/>
      <c r="T17"/>
      <c r="U17"/>
      <c r="V17"/>
      <c r="Z17" s="359"/>
    </row>
    <row r="18" spans="1:26" ht="14.25" customHeight="1" x14ac:dyDescent="0.25">
      <c r="A18" s="35" t="s">
        <v>2</v>
      </c>
      <c r="B18" s="27" t="s">
        <v>1295</v>
      </c>
      <c r="C18" s="27"/>
      <c r="D18" s="27"/>
      <c r="E18" s="27"/>
      <c r="F18" s="27"/>
      <c r="G18" s="27"/>
      <c r="H18" s="27"/>
      <c r="I18" s="27"/>
      <c r="J18" s="27"/>
      <c r="K18" s="31"/>
      <c r="M18"/>
      <c r="N18"/>
      <c r="O18"/>
      <c r="P18"/>
      <c r="Q18"/>
      <c r="R18"/>
      <c r="S18"/>
      <c r="T18"/>
      <c r="U18"/>
      <c r="V18"/>
      <c r="Z18" s="359"/>
    </row>
    <row r="19" spans="1:26" ht="14.25" customHeight="1" x14ac:dyDescent="0.25">
      <c r="A19" s="9">
        <f>INDEX('Point Grid'!$C$8:$I$35,MATCH($A$1,'Point Grid'!$A$8:$A$35,0),MATCH(A18,'Point Grid'!$C$7:$I$7,0))</f>
        <v>0.5</v>
      </c>
      <c r="B19" s="27" t="s">
        <v>1244</v>
      </c>
      <c r="C19" s="27"/>
      <c r="D19" s="27"/>
      <c r="E19" s="27"/>
      <c r="F19" s="27"/>
      <c r="G19" s="27"/>
      <c r="H19" s="27"/>
      <c r="I19" s="27"/>
      <c r="J19" s="27"/>
      <c r="K19" s="31"/>
      <c r="M19"/>
      <c r="N19"/>
      <c r="O19"/>
      <c r="P19"/>
      <c r="Q19"/>
      <c r="R19"/>
      <c r="S19"/>
      <c r="T19"/>
      <c r="U19"/>
      <c r="V19"/>
      <c r="Z19" s="359"/>
    </row>
    <row r="20" spans="1:26" ht="14.25" customHeight="1" thickBot="1" x14ac:dyDescent="0.3">
      <c r="A20" s="39"/>
      <c r="B20" s="27" t="s">
        <v>1245</v>
      </c>
      <c r="C20" s="27"/>
      <c r="D20" s="27"/>
      <c r="E20" s="27"/>
      <c r="F20" s="27"/>
      <c r="G20" s="27"/>
      <c r="H20" s="27"/>
      <c r="I20" s="27"/>
      <c r="J20" s="27"/>
      <c r="K20" s="31"/>
      <c r="M20"/>
      <c r="N20"/>
      <c r="O20"/>
      <c r="P20"/>
      <c r="Q20"/>
      <c r="R20"/>
      <c r="S20"/>
      <c r="T20"/>
      <c r="U20"/>
      <c r="V20"/>
      <c r="Z20" s="359"/>
    </row>
    <row r="21" spans="1:26" ht="15" customHeight="1" thickBot="1" x14ac:dyDescent="0.3">
      <c r="A21" s="5"/>
      <c r="B21" s="27"/>
      <c r="C21" s="27"/>
      <c r="D21" s="27"/>
      <c r="E21" s="27"/>
      <c r="F21" s="27"/>
      <c r="G21" s="27"/>
      <c r="H21" s="27"/>
      <c r="I21" s="27"/>
      <c r="J21" s="27"/>
      <c r="K21" s="31"/>
      <c r="M21"/>
      <c r="N21"/>
      <c r="O21"/>
      <c r="P21"/>
      <c r="Q21"/>
      <c r="R21"/>
      <c r="S21"/>
      <c r="T21"/>
      <c r="U21"/>
      <c r="V21"/>
      <c r="Z21"/>
    </row>
    <row r="22" spans="1:26" ht="15" customHeight="1" x14ac:dyDescent="0.25">
      <c r="A22" s="30"/>
      <c r="B22" s="27"/>
      <c r="C22" s="27"/>
      <c r="D22" s="27"/>
      <c r="E22" s="27"/>
      <c r="F22" s="27"/>
      <c r="G22" s="27"/>
      <c r="H22" s="27"/>
      <c r="I22" s="27"/>
      <c r="J22" s="27"/>
      <c r="K22" s="31"/>
      <c r="M22"/>
      <c r="N22"/>
      <c r="O22"/>
      <c r="P22"/>
      <c r="Q22"/>
      <c r="R22"/>
      <c r="S22"/>
      <c r="T22"/>
      <c r="U22"/>
      <c r="V22" s="1"/>
      <c r="Z22" s="1"/>
    </row>
    <row r="23" spans="1:26" ht="15" customHeight="1" x14ac:dyDescent="0.25">
      <c r="A23" s="36"/>
      <c r="B23" s="27"/>
      <c r="C23" s="27"/>
      <c r="D23" s="27"/>
      <c r="E23" s="27"/>
      <c r="F23" s="27"/>
      <c r="G23" s="27"/>
      <c r="H23" s="27"/>
      <c r="I23" s="27"/>
      <c r="J23" s="27"/>
      <c r="K23" s="31"/>
      <c r="M23"/>
      <c r="N23"/>
      <c r="O23"/>
      <c r="P23"/>
      <c r="Q23"/>
      <c r="R23"/>
      <c r="S23"/>
      <c r="T23"/>
      <c r="U23"/>
      <c r="V23"/>
      <c r="Z23"/>
    </row>
    <row r="24" spans="1:26" ht="15" customHeight="1" x14ac:dyDescent="0.25">
      <c r="A24" s="35" t="s">
        <v>3</v>
      </c>
      <c r="B24" s="27" t="s">
        <v>1297</v>
      </c>
      <c r="C24" s="27"/>
      <c r="D24" s="27"/>
      <c r="E24" s="27"/>
      <c r="F24" s="27"/>
      <c r="G24" s="27"/>
      <c r="H24" s="27"/>
      <c r="I24" s="27"/>
      <c r="J24" s="27"/>
      <c r="K24" s="31"/>
      <c r="M24"/>
      <c r="N24"/>
      <c r="O24"/>
      <c r="P24"/>
      <c r="Q24"/>
      <c r="R24"/>
      <c r="S24"/>
      <c r="T24"/>
      <c r="U24"/>
      <c r="V24"/>
      <c r="Z24"/>
    </row>
    <row r="25" spans="1:26" ht="15" customHeight="1" thickBot="1" x14ac:dyDescent="0.3">
      <c r="A25" s="9">
        <f>INDEX('Point Grid'!$C$8:$I$35,MATCH($A$1,'Point Grid'!$A$8:$A$35,0),MATCH(A24,'Point Grid'!$C$7:$I$7,0))</f>
        <v>0.75</v>
      </c>
      <c r="B25" s="27" t="s">
        <v>1296</v>
      </c>
      <c r="C25" s="27"/>
      <c r="D25" s="27"/>
      <c r="E25" s="27"/>
      <c r="F25" s="27"/>
      <c r="G25" s="27"/>
      <c r="H25" s="27"/>
      <c r="I25" s="27"/>
      <c r="J25" s="27"/>
      <c r="K25" s="31"/>
      <c r="M25"/>
      <c r="N25"/>
      <c r="O25"/>
      <c r="P25"/>
      <c r="Q25"/>
      <c r="R25"/>
      <c r="S25"/>
      <c r="T25"/>
      <c r="U25"/>
      <c r="V25"/>
      <c r="Z25" s="359"/>
    </row>
    <row r="26" spans="1:26" ht="15" customHeight="1" thickBot="1" x14ac:dyDescent="0.3">
      <c r="A26" s="5"/>
      <c r="B26" s="27"/>
      <c r="C26" s="27"/>
      <c r="D26" s="27"/>
      <c r="E26" s="27"/>
      <c r="F26" s="27"/>
      <c r="G26" s="27"/>
      <c r="H26" s="27"/>
      <c r="I26" s="27"/>
      <c r="J26" s="27"/>
      <c r="K26" s="31"/>
      <c r="M26"/>
      <c r="N26"/>
      <c r="O26"/>
      <c r="P26"/>
      <c r="Q26"/>
      <c r="R26"/>
      <c r="S26"/>
      <c r="T26"/>
      <c r="U26"/>
      <c r="V26" s="1"/>
      <c r="Z26" s="359"/>
    </row>
    <row r="27" spans="1:26" ht="15" customHeight="1" x14ac:dyDescent="0.25">
      <c r="A27" s="30"/>
      <c r="B27" s="27"/>
      <c r="C27" s="27"/>
      <c r="D27" s="27"/>
      <c r="E27" s="27"/>
      <c r="F27" s="27"/>
      <c r="G27" s="27"/>
      <c r="H27" s="27"/>
      <c r="I27" s="27"/>
      <c r="J27" s="27"/>
      <c r="K27" s="31"/>
      <c r="M27"/>
      <c r="N27"/>
      <c r="O27"/>
      <c r="P27"/>
      <c r="Q27"/>
      <c r="R27"/>
      <c r="S27"/>
      <c r="T27"/>
      <c r="U27"/>
      <c r="V27"/>
      <c r="Z27" s="359"/>
    </row>
    <row r="28" spans="1:26" ht="15" customHeight="1" x14ac:dyDescent="0.25">
      <c r="A28" s="35" t="s">
        <v>4</v>
      </c>
      <c r="B28" s="27" t="s">
        <v>1246</v>
      </c>
      <c r="C28" s="27"/>
      <c r="D28" s="27"/>
      <c r="E28" s="27"/>
      <c r="F28" s="27"/>
      <c r="G28" s="27"/>
      <c r="H28" s="27"/>
      <c r="I28" s="27"/>
      <c r="J28" s="27"/>
      <c r="K28" s="31"/>
      <c r="M28"/>
      <c r="N28"/>
      <c r="O28"/>
      <c r="P28"/>
      <c r="Q28"/>
      <c r="R28"/>
      <c r="S28"/>
      <c r="T28"/>
      <c r="U28"/>
      <c r="V28"/>
      <c r="Z28"/>
    </row>
    <row r="29" spans="1:26" ht="15" customHeight="1" x14ac:dyDescent="0.25">
      <c r="A29" s="9">
        <f>INDEX('Point Grid'!$C$8:$I$35,MATCH($A$1,'Point Grid'!$A$8:$A$35,0),MATCH(A28,'Point Grid'!$C$7:$I$7,0))</f>
        <v>0.75</v>
      </c>
      <c r="B29" s="27" t="s">
        <v>1247</v>
      </c>
      <c r="C29" s="27"/>
      <c r="D29" s="27"/>
      <c r="E29" s="27"/>
      <c r="F29" s="27"/>
      <c r="G29" s="27"/>
      <c r="H29" s="27"/>
      <c r="I29" s="27"/>
      <c r="J29" s="27"/>
      <c r="K29" s="31"/>
      <c r="M29"/>
      <c r="N29"/>
      <c r="O29"/>
      <c r="P29"/>
      <c r="Q29"/>
      <c r="R29"/>
      <c r="S29"/>
      <c r="T29"/>
      <c r="U29"/>
      <c r="V29" s="359"/>
      <c r="Z29"/>
    </row>
    <row r="30" spans="1:26" ht="15" customHeight="1" thickBot="1" x14ac:dyDescent="0.3">
      <c r="A30" s="35"/>
      <c r="B30" s="27" t="s">
        <v>1248</v>
      </c>
      <c r="C30" s="27"/>
      <c r="D30" s="27"/>
      <c r="E30" s="27"/>
      <c r="F30" s="27"/>
      <c r="G30" s="27"/>
      <c r="H30" s="27"/>
      <c r="I30" s="27"/>
      <c r="J30" s="27"/>
      <c r="K30" s="31"/>
      <c r="M30"/>
      <c r="N30"/>
      <c r="O30"/>
      <c r="P30"/>
      <c r="Q30"/>
      <c r="R30"/>
      <c r="S30"/>
      <c r="T30"/>
      <c r="U30"/>
      <c r="V30" s="359"/>
      <c r="Z30"/>
    </row>
    <row r="31" spans="1:26" ht="15" customHeight="1" thickBot="1" x14ac:dyDescent="0.3">
      <c r="A31" s="5"/>
      <c r="B31" s="221"/>
      <c r="C31" s="27"/>
      <c r="D31" s="27"/>
      <c r="E31" s="27"/>
      <c r="F31" s="27"/>
      <c r="G31" s="27"/>
      <c r="H31" s="27"/>
      <c r="I31" s="27"/>
      <c r="J31" s="27"/>
      <c r="K31" s="31"/>
      <c r="M31"/>
      <c r="N31"/>
      <c r="O31"/>
      <c r="P31"/>
      <c r="Q31"/>
      <c r="R31"/>
      <c r="S31"/>
      <c r="T31"/>
      <c r="U31"/>
      <c r="V31" s="359"/>
      <c r="Z31"/>
    </row>
    <row r="32" spans="1:26" ht="15" customHeight="1" thickBot="1" x14ac:dyDescent="0.3">
      <c r="A32" s="37"/>
      <c r="B32" s="37"/>
      <c r="C32" s="37"/>
      <c r="D32" s="37"/>
      <c r="E32" s="37"/>
      <c r="F32" s="37"/>
      <c r="G32" s="37"/>
      <c r="H32" s="37"/>
      <c r="I32" s="37"/>
      <c r="J32" s="37"/>
      <c r="K32" s="51"/>
      <c r="M32"/>
      <c r="N32"/>
      <c r="O32"/>
      <c r="P32"/>
      <c r="Q32"/>
      <c r="R32"/>
      <c r="S32"/>
      <c r="T32"/>
      <c r="U32"/>
      <c r="V32"/>
      <c r="Z32"/>
    </row>
    <row r="33" spans="26:26" x14ac:dyDescent="0.25">
      <c r="Z33"/>
    </row>
    <row r="34" spans="26:26" x14ac:dyDescent="0.25">
      <c r="Z34"/>
    </row>
    <row r="35" spans="26:26" x14ac:dyDescent="0.25">
      <c r="Z35"/>
    </row>
    <row r="36" spans="26:26" x14ac:dyDescent="0.25">
      <c r="Z36"/>
    </row>
    <row r="37" spans="26:26" x14ac:dyDescent="0.25">
      <c r="Z37"/>
    </row>
  </sheetData>
  <conditionalFormatting sqref="B1">
    <cfRule type="cellIs" dxfId="46" priority="1" operator="equal">
      <formula>"Incomplete"</formula>
    </cfRule>
    <cfRule type="cellIs" dxfId="45" priority="2" operator="equal">
      <formula>"Flag for Review"</formula>
    </cfRule>
    <cfRule type="cellIs" dxfId="44"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K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75"/>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11" width="11.42578125" style="29" customWidth="1"/>
    <col min="12" max="12" width="9.42578125" style="29" customWidth="1"/>
    <col min="13" max="13" width="10.7109375" style="29" customWidth="1"/>
    <col min="14" max="16384" width="9.140625" style="29"/>
  </cols>
  <sheetData>
    <row r="1" spans="1:25" x14ac:dyDescent="0.25">
      <c r="A1" s="7">
        <v>19</v>
      </c>
      <c r="B1" s="41" t="s">
        <v>12</v>
      </c>
      <c r="C1" s="28"/>
      <c r="D1" s="28"/>
      <c r="E1" s="28"/>
      <c r="F1" s="28"/>
      <c r="G1" s="28"/>
      <c r="H1" s="28"/>
      <c r="I1" s="28"/>
      <c r="J1" s="28"/>
      <c r="K1" s="388" t="s">
        <v>30</v>
      </c>
      <c r="L1" s="390"/>
      <c r="N1" s="29" t="s">
        <v>54</v>
      </c>
      <c r="O1" s="70" t="s">
        <v>878</v>
      </c>
    </row>
    <row r="2" spans="1:25" x14ac:dyDescent="0.25">
      <c r="A2" s="30"/>
      <c r="B2" s="27"/>
      <c r="C2" s="27"/>
      <c r="D2" s="27"/>
      <c r="E2" s="27"/>
      <c r="F2" s="27"/>
      <c r="G2" s="27"/>
      <c r="H2" s="27"/>
      <c r="I2" s="27"/>
      <c r="J2" s="27"/>
      <c r="K2" s="27"/>
      <c r="L2" s="31"/>
    </row>
    <row r="3" spans="1:25" x14ac:dyDescent="0.25">
      <c r="A3" s="8" t="s">
        <v>13</v>
      </c>
      <c r="B3" s="27"/>
      <c r="C3" s="27"/>
      <c r="D3" s="27"/>
      <c r="E3" s="27"/>
      <c r="F3" s="27"/>
      <c r="G3" s="27"/>
      <c r="H3" s="27"/>
      <c r="I3" s="27"/>
      <c r="J3" s="27"/>
      <c r="K3" s="27"/>
      <c r="L3" s="31"/>
    </row>
    <row r="4" spans="1:25" x14ac:dyDescent="0.25">
      <c r="A4" s="9">
        <f>INDEX('Point Grid'!B:B,MATCH($A$1,'Point Grid'!A:A,0))</f>
        <v>4.5</v>
      </c>
      <c r="B4" s="27"/>
      <c r="C4" s="27"/>
      <c r="D4" s="27"/>
      <c r="E4" s="27"/>
      <c r="F4" s="27"/>
      <c r="G4" s="27"/>
      <c r="H4" s="27"/>
      <c r="I4" s="27"/>
      <c r="J4" s="27"/>
      <c r="K4" s="27"/>
      <c r="L4" s="31"/>
      <c r="N4" s="57" t="s">
        <v>2</v>
      </c>
      <c r="O4" s="29" t="s">
        <v>434</v>
      </c>
    </row>
    <row r="5" spans="1:25" x14ac:dyDescent="0.25">
      <c r="A5" s="30"/>
      <c r="B5" s="27"/>
      <c r="C5" s="27"/>
      <c r="D5" s="27"/>
      <c r="E5" s="27"/>
      <c r="F5" s="27"/>
      <c r="G5" s="27"/>
      <c r="H5" s="27"/>
      <c r="I5" s="27"/>
      <c r="J5" s="27"/>
      <c r="K5" s="27"/>
      <c r="L5" s="31"/>
    </row>
    <row r="6" spans="1:25" x14ac:dyDescent="0.25">
      <c r="A6" s="35" t="s">
        <v>2</v>
      </c>
      <c r="B6" s="27" t="s">
        <v>432</v>
      </c>
      <c r="C6" s="27"/>
      <c r="D6" s="27"/>
      <c r="E6" s="27"/>
      <c r="F6" s="27"/>
      <c r="G6" s="27"/>
      <c r="H6" s="27"/>
      <c r="I6" s="27"/>
      <c r="J6" s="27"/>
      <c r="K6" s="27"/>
      <c r="L6" s="31"/>
      <c r="O6" s="57" t="s">
        <v>435</v>
      </c>
      <c r="P6" s="29" t="s">
        <v>437</v>
      </c>
    </row>
    <row r="7" spans="1:25" ht="15.75" thickBot="1" x14ac:dyDescent="0.3">
      <c r="A7" s="9">
        <f>INDEX('Point Grid'!$C$8:$I$35,MATCH($A$1,'Point Grid'!$A$8:$A$35,0),MATCH(A6,'Point Grid'!$C$7:$I$7,0))</f>
        <v>0.5</v>
      </c>
      <c r="B7" s="27" t="s">
        <v>433</v>
      </c>
      <c r="C7" s="27"/>
      <c r="D7" s="27"/>
      <c r="E7" s="27"/>
      <c r="F7" s="27"/>
      <c r="G7" s="27"/>
      <c r="H7" s="27"/>
      <c r="I7" s="27"/>
      <c r="J7" s="27"/>
      <c r="K7" s="27"/>
      <c r="L7" s="31"/>
      <c r="P7" s="163" t="s">
        <v>439</v>
      </c>
    </row>
    <row r="8" spans="1:25" ht="15.75" thickBot="1" x14ac:dyDescent="0.3">
      <c r="A8" s="5"/>
      <c r="B8" s="27"/>
      <c r="C8" s="27"/>
      <c r="D8" s="27"/>
      <c r="E8" s="27"/>
      <c r="F8" s="27"/>
      <c r="G8" s="27"/>
      <c r="H8" s="27"/>
      <c r="I8" s="27"/>
      <c r="J8" s="27"/>
      <c r="K8" s="27"/>
      <c r="L8" s="31"/>
      <c r="O8" s="57"/>
    </row>
    <row r="9" spans="1:25" x14ac:dyDescent="0.25">
      <c r="A9" s="36"/>
      <c r="B9" s="27"/>
      <c r="C9" s="27"/>
      <c r="D9" s="27"/>
      <c r="E9" s="27"/>
      <c r="F9" s="27"/>
      <c r="G9" s="27"/>
      <c r="H9" s="27"/>
      <c r="I9" s="27"/>
      <c r="J9" s="27"/>
      <c r="K9" s="27"/>
      <c r="L9" s="31"/>
      <c r="O9" s="57" t="s">
        <v>436</v>
      </c>
      <c r="P9" s="29" t="s">
        <v>438</v>
      </c>
    </row>
    <row r="10" spans="1:25" x14ac:dyDescent="0.25">
      <c r="A10" s="35" t="s">
        <v>3</v>
      </c>
      <c r="B10" s="52" t="s">
        <v>443</v>
      </c>
      <c r="C10" s="52"/>
      <c r="D10" s="52"/>
      <c r="E10" s="52"/>
      <c r="F10" s="52"/>
      <c r="G10" s="52"/>
      <c r="H10" s="52"/>
      <c r="I10" s="52"/>
      <c r="J10" s="52"/>
      <c r="K10" s="52"/>
      <c r="L10" s="31"/>
      <c r="P10" s="163" t="s">
        <v>440</v>
      </c>
    </row>
    <row r="11" spans="1:25" ht="15.75" thickBot="1" x14ac:dyDescent="0.3">
      <c r="A11" s="9">
        <f>INDEX('Point Grid'!$C$8:$I$35,MATCH($A$1,'Point Grid'!$A$8:$A$35,0),MATCH(A10,'Point Grid'!$C$7:$I$7,0))</f>
        <v>1.25</v>
      </c>
      <c r="B11" s="52" t="s">
        <v>444</v>
      </c>
      <c r="C11" s="52"/>
      <c r="D11" s="52"/>
      <c r="E11" s="52"/>
      <c r="F11" s="52"/>
      <c r="G11" s="52"/>
      <c r="H11" s="52"/>
      <c r="I11" s="52"/>
      <c r="J11" s="52"/>
      <c r="K11" s="52"/>
      <c r="L11" s="31"/>
    </row>
    <row r="12" spans="1:25" ht="15.75" thickBot="1" x14ac:dyDescent="0.3">
      <c r="A12" s="5"/>
      <c r="B12" s="27"/>
      <c r="C12" s="27"/>
      <c r="D12" s="27"/>
      <c r="E12" s="27"/>
      <c r="F12" s="27"/>
      <c r="G12" s="27"/>
      <c r="H12" s="27"/>
      <c r="I12" s="52"/>
      <c r="J12" s="52"/>
      <c r="K12" s="52"/>
      <c r="L12" s="31"/>
      <c r="O12" s="57" t="s">
        <v>441</v>
      </c>
      <c r="P12" s="29" t="s">
        <v>442</v>
      </c>
    </row>
    <row r="13" spans="1:25" x14ac:dyDescent="0.25">
      <c r="A13" s="30"/>
      <c r="B13" s="108" t="s">
        <v>445</v>
      </c>
      <c r="C13" s="49"/>
      <c r="D13" s="49"/>
      <c r="E13" s="49"/>
      <c r="F13" s="49"/>
      <c r="G13" s="63"/>
      <c r="H13" s="180">
        <v>5</v>
      </c>
      <c r="I13" s="181" t="s">
        <v>770</v>
      </c>
      <c r="J13" s="27"/>
      <c r="K13" s="27"/>
      <c r="L13" s="31"/>
    </row>
    <row r="14" spans="1:25" x14ac:dyDescent="0.25">
      <c r="A14" s="30"/>
      <c r="B14" s="93" t="s">
        <v>446</v>
      </c>
      <c r="C14" s="47"/>
      <c r="D14" s="47"/>
      <c r="E14" s="47"/>
      <c r="F14" s="47"/>
      <c r="G14" s="60"/>
      <c r="H14" s="182">
        <v>2</v>
      </c>
      <c r="I14" s="27"/>
      <c r="J14" s="27"/>
      <c r="K14" s="27"/>
      <c r="L14" s="31"/>
    </row>
    <row r="15" spans="1:25" x14ac:dyDescent="0.25">
      <c r="A15" s="30"/>
      <c r="B15" s="96" t="s">
        <v>447</v>
      </c>
      <c r="C15" s="48"/>
      <c r="D15" s="48"/>
      <c r="E15" s="48"/>
      <c r="F15" s="48"/>
      <c r="G15" s="62"/>
      <c r="H15" s="183">
        <v>1</v>
      </c>
      <c r="I15" s="27"/>
      <c r="J15" s="27"/>
      <c r="K15" s="27"/>
      <c r="L15" s="31"/>
      <c r="N15" s="57" t="s">
        <v>3</v>
      </c>
      <c r="O15" s="187" t="s">
        <v>454</v>
      </c>
      <c r="P15" t="s">
        <v>455</v>
      </c>
      <c r="Q15"/>
      <c r="R15"/>
      <c r="S15"/>
      <c r="T15"/>
      <c r="U15" s="188" t="s">
        <v>341</v>
      </c>
      <c r="V15" s="189" t="s">
        <v>456</v>
      </c>
      <c r="W15" s="190" t="s">
        <v>457</v>
      </c>
      <c r="X15" s="191"/>
      <c r="Y15"/>
    </row>
    <row r="16" spans="1:25" x14ac:dyDescent="0.25">
      <c r="A16" s="30"/>
      <c r="B16" s="27"/>
      <c r="C16" s="27"/>
      <c r="D16" s="27"/>
      <c r="E16" s="27"/>
      <c r="F16" s="27"/>
      <c r="G16" s="27"/>
      <c r="H16" s="27"/>
      <c r="I16" s="27"/>
      <c r="J16" s="27"/>
      <c r="K16" s="27"/>
      <c r="L16" s="31"/>
      <c r="O16"/>
      <c r="P16"/>
      <c r="Q16"/>
      <c r="R16"/>
      <c r="S16"/>
      <c r="T16"/>
      <c r="U16"/>
      <c r="V16"/>
      <c r="W16"/>
      <c r="X16"/>
      <c r="Y16"/>
    </row>
    <row r="17" spans="1:25" x14ac:dyDescent="0.25">
      <c r="A17" s="30"/>
      <c r="B17" s="108" t="s">
        <v>448</v>
      </c>
      <c r="C17" s="49"/>
      <c r="D17" s="49"/>
      <c r="E17" s="63"/>
      <c r="F17" s="160" t="s">
        <v>449</v>
      </c>
      <c r="G17" s="184">
        <v>2022</v>
      </c>
      <c r="H17" s="184">
        <v>2023</v>
      </c>
      <c r="I17" s="184">
        <v>2024</v>
      </c>
      <c r="J17" s="184">
        <v>2025</v>
      </c>
      <c r="K17" s="185">
        <v>2026</v>
      </c>
      <c r="L17" s="31"/>
      <c r="O17" s="102"/>
      <c r="P17" s="170"/>
      <c r="Q17" s="171"/>
      <c r="R17" s="192">
        <f>G17</f>
        <v>2022</v>
      </c>
      <c r="S17" s="192">
        <f>R17+1</f>
        <v>2023</v>
      </c>
      <c r="T17" s="192">
        <f>S17+1</f>
        <v>2024</v>
      </c>
      <c r="U17" s="192">
        <f>T17+1</f>
        <v>2025</v>
      </c>
      <c r="V17" s="192">
        <f>U17+1</f>
        <v>2026</v>
      </c>
      <c r="W17" s="102"/>
      <c r="X17" s="102"/>
      <c r="Y17" s="102"/>
    </row>
    <row r="18" spans="1:25" x14ac:dyDescent="0.25">
      <c r="A18" s="30"/>
      <c r="B18" s="164" t="s">
        <v>450</v>
      </c>
      <c r="C18" s="165"/>
      <c r="D18" s="146"/>
      <c r="E18" s="147"/>
      <c r="F18" s="152" t="s">
        <v>341</v>
      </c>
      <c r="G18" s="167">
        <v>2.1</v>
      </c>
      <c r="H18" s="168">
        <v>2.16</v>
      </c>
      <c r="I18" s="168">
        <v>2.2200000000000002</v>
      </c>
      <c r="J18" s="168">
        <v>2.29</v>
      </c>
      <c r="K18" s="169">
        <v>2.36</v>
      </c>
      <c r="L18" s="31"/>
      <c r="O18" s="102"/>
      <c r="P18" s="102" t="s">
        <v>458</v>
      </c>
      <c r="Q18" s="166"/>
      <c r="R18" s="193">
        <f>G18</f>
        <v>2.1</v>
      </c>
      <c r="S18" s="193">
        <f>H18</f>
        <v>2.16</v>
      </c>
      <c r="T18" s="193">
        <f>I18</f>
        <v>2.2200000000000002</v>
      </c>
      <c r="U18" s="193">
        <f>J18</f>
        <v>2.29</v>
      </c>
      <c r="V18" s="193">
        <f>K18</f>
        <v>2.36</v>
      </c>
      <c r="W18" s="102"/>
      <c r="X18" s="102"/>
      <c r="Y18" s="102"/>
    </row>
    <row r="19" spans="1:25" x14ac:dyDescent="0.25">
      <c r="A19" s="30"/>
      <c r="B19" s="114"/>
      <c r="C19" s="52"/>
      <c r="D19" s="27"/>
      <c r="E19" s="61"/>
      <c r="F19" s="152" t="s">
        <v>407</v>
      </c>
      <c r="G19" s="148">
        <v>1700</v>
      </c>
      <c r="H19" s="148">
        <v>1802</v>
      </c>
      <c r="I19" s="148">
        <v>1910</v>
      </c>
      <c r="J19" s="148">
        <v>2025</v>
      </c>
      <c r="K19" s="149">
        <v>2147</v>
      </c>
      <c r="L19" s="31"/>
      <c r="O19" s="102"/>
      <c r="P19" s="102" t="s">
        <v>459</v>
      </c>
      <c r="Q19" s="166"/>
      <c r="R19" s="193">
        <f>H14</f>
        <v>2</v>
      </c>
      <c r="S19" s="193">
        <f>R19</f>
        <v>2</v>
      </c>
      <c r="T19" s="193">
        <f>S19</f>
        <v>2</v>
      </c>
      <c r="U19" s="193">
        <f>T19</f>
        <v>2</v>
      </c>
      <c r="V19" s="193">
        <f>U19</f>
        <v>2</v>
      </c>
      <c r="W19" s="102"/>
      <c r="X19" s="102"/>
      <c r="Y19" s="102"/>
    </row>
    <row r="20" spans="1:25" x14ac:dyDescent="0.25">
      <c r="A20" s="30"/>
      <c r="B20" s="96"/>
      <c r="C20" s="97"/>
      <c r="D20" s="48"/>
      <c r="E20" s="62"/>
      <c r="F20" s="153" t="s">
        <v>408</v>
      </c>
      <c r="G20" s="150">
        <v>1615</v>
      </c>
      <c r="H20" s="150">
        <v>1728</v>
      </c>
      <c r="I20" s="150">
        <v>1849</v>
      </c>
      <c r="J20" s="150">
        <v>1978</v>
      </c>
      <c r="K20" s="151">
        <v>2116</v>
      </c>
      <c r="L20" s="31"/>
      <c r="O20" s="102"/>
      <c r="P20" s="194" t="s">
        <v>460</v>
      </c>
      <c r="Q20" s="195"/>
      <c r="R20" s="196" t="str">
        <f>IF(R18&gt;=R19,"yes","no")</f>
        <v>yes</v>
      </c>
      <c r="S20" s="196" t="str">
        <f>IF(S18&gt;=S19,"yes","no")</f>
        <v>yes</v>
      </c>
      <c r="T20" s="196" t="str">
        <f>IF(T18&gt;=T19,"yes","no")</f>
        <v>yes</v>
      </c>
      <c r="U20" s="196" t="str">
        <f>IF(U18&gt;=U19,"yes","no")</f>
        <v>yes</v>
      </c>
      <c r="V20" s="196" t="str">
        <f>IF(V18&gt;=V19,"yes","no")</f>
        <v>yes</v>
      </c>
      <c r="W20" s="197" t="s">
        <v>461</v>
      </c>
      <c r="X20" s="198"/>
      <c r="Y20" s="142" t="s">
        <v>474</v>
      </c>
    </row>
    <row r="21" spans="1:25" x14ac:dyDescent="0.25">
      <c r="A21" s="30"/>
      <c r="B21" s="172" t="s">
        <v>451</v>
      </c>
      <c r="C21" s="173"/>
      <c r="D21" s="174"/>
      <c r="E21" s="175"/>
      <c r="F21" s="152" t="s">
        <v>341</v>
      </c>
      <c r="G21" s="167">
        <v>2.1</v>
      </c>
      <c r="H21" s="168">
        <v>1.76</v>
      </c>
      <c r="I21" s="168">
        <v>1.48</v>
      </c>
      <c r="J21" s="168">
        <v>1.24</v>
      </c>
      <c r="K21" s="169">
        <v>1.04</v>
      </c>
      <c r="L21" s="31"/>
      <c r="O21" s="102"/>
      <c r="P21" s="102"/>
      <c r="Q21" s="102"/>
      <c r="R21" s="102"/>
      <c r="S21" s="102"/>
      <c r="T21" s="102"/>
      <c r="U21" s="102"/>
      <c r="V21" s="102"/>
      <c r="W21" s="102"/>
      <c r="X21" s="102"/>
      <c r="Y21" s="102"/>
    </row>
    <row r="22" spans="1:25" x14ac:dyDescent="0.25">
      <c r="A22" s="30"/>
      <c r="B22" s="186" t="s">
        <v>771</v>
      </c>
      <c r="C22" s="52"/>
      <c r="D22" s="27"/>
      <c r="E22" s="61"/>
      <c r="F22" s="152" t="s">
        <v>407</v>
      </c>
      <c r="G22" s="148">
        <v>1700</v>
      </c>
      <c r="H22" s="148">
        <v>1751</v>
      </c>
      <c r="I22" s="148">
        <v>1804</v>
      </c>
      <c r="J22" s="148">
        <v>1858</v>
      </c>
      <c r="K22" s="149">
        <v>1914</v>
      </c>
      <c r="L22" s="31"/>
      <c r="O22"/>
      <c r="P22"/>
      <c r="Q22"/>
      <c r="R22"/>
      <c r="S22"/>
      <c r="T22"/>
      <c r="U22"/>
      <c r="V22"/>
      <c r="W22"/>
      <c r="X22"/>
      <c r="Y22"/>
    </row>
    <row r="23" spans="1:25" x14ac:dyDescent="0.25">
      <c r="A23" s="30"/>
      <c r="B23" s="96"/>
      <c r="C23" s="97"/>
      <c r="D23" s="48"/>
      <c r="E23" s="62"/>
      <c r="F23" s="153" t="s">
        <v>408</v>
      </c>
      <c r="G23" s="150">
        <v>1615</v>
      </c>
      <c r="H23" s="150">
        <v>1696</v>
      </c>
      <c r="I23" s="150">
        <v>1781</v>
      </c>
      <c r="J23" s="150">
        <v>1870</v>
      </c>
      <c r="K23" s="151">
        <v>1964</v>
      </c>
      <c r="L23" s="31"/>
      <c r="O23" s="199" t="s">
        <v>462</v>
      </c>
      <c r="P23" t="s">
        <v>463</v>
      </c>
      <c r="Q23"/>
      <c r="R23"/>
      <c r="S23"/>
      <c r="T23"/>
      <c r="U23" s="188" t="s">
        <v>341</v>
      </c>
      <c r="V23" s="189" t="s">
        <v>456</v>
      </c>
      <c r="W23" s="207" t="s">
        <v>464</v>
      </c>
      <c r="X23" s="191"/>
      <c r="Y23" s="102"/>
    </row>
    <row r="24" spans="1:25" x14ac:dyDescent="0.25">
      <c r="A24" s="30"/>
      <c r="B24" s="176" t="s">
        <v>452</v>
      </c>
      <c r="C24" s="177"/>
      <c r="D24" s="178"/>
      <c r="E24" s="179"/>
      <c r="F24" s="152" t="s">
        <v>341</v>
      </c>
      <c r="G24" s="167">
        <v>2.1</v>
      </c>
      <c r="H24" s="168">
        <v>1.66</v>
      </c>
      <c r="I24" s="168">
        <v>1.31</v>
      </c>
      <c r="J24" s="168">
        <v>1.03</v>
      </c>
      <c r="K24" s="169">
        <v>0.81</v>
      </c>
      <c r="L24" s="31"/>
      <c r="O24"/>
      <c r="P24"/>
      <c r="Q24"/>
      <c r="R24"/>
      <c r="S24"/>
      <c r="T24"/>
      <c r="U24"/>
      <c r="V24"/>
      <c r="W24"/>
      <c r="X24" s="102"/>
      <c r="Y24" s="102"/>
    </row>
    <row r="25" spans="1:25" x14ac:dyDescent="0.25">
      <c r="A25" s="30"/>
      <c r="B25" s="114" t="s">
        <v>774</v>
      </c>
      <c r="C25" s="52"/>
      <c r="D25" s="27"/>
      <c r="E25" s="61"/>
      <c r="F25" s="152" t="s">
        <v>407</v>
      </c>
      <c r="G25" s="148">
        <v>1700</v>
      </c>
      <c r="H25" s="148">
        <v>1700</v>
      </c>
      <c r="I25" s="148">
        <v>1700</v>
      </c>
      <c r="J25" s="148">
        <v>1700</v>
      </c>
      <c r="K25" s="149">
        <v>1700</v>
      </c>
      <c r="L25" s="31"/>
      <c r="O25" s="102"/>
      <c r="P25" s="170"/>
      <c r="Q25" s="171"/>
      <c r="R25" s="192">
        <f>R17</f>
        <v>2022</v>
      </c>
      <c r="S25" s="192">
        <f>R25+1</f>
        <v>2023</v>
      </c>
      <c r="T25" s="192">
        <f>S25+1</f>
        <v>2024</v>
      </c>
      <c r="U25" s="192">
        <f>T25+1</f>
        <v>2025</v>
      </c>
      <c r="V25" s="192">
        <f>U25+1</f>
        <v>2026</v>
      </c>
      <c r="W25" s="102"/>
      <c r="X25" s="102"/>
      <c r="Y25" s="102"/>
    </row>
    <row r="26" spans="1:25" x14ac:dyDescent="0.25">
      <c r="A26" s="30"/>
      <c r="B26" s="96"/>
      <c r="C26" s="97"/>
      <c r="D26" s="48"/>
      <c r="E26" s="62"/>
      <c r="F26" s="153" t="s">
        <v>408</v>
      </c>
      <c r="G26" s="150">
        <v>1615</v>
      </c>
      <c r="H26" s="150">
        <v>1728</v>
      </c>
      <c r="I26" s="150">
        <v>1849</v>
      </c>
      <c r="J26" s="150">
        <v>1978</v>
      </c>
      <c r="K26" s="151">
        <v>2116</v>
      </c>
      <c r="L26" s="31"/>
      <c r="O26" s="102"/>
      <c r="P26" s="102"/>
      <c r="Q26" s="200" t="s">
        <v>465</v>
      </c>
      <c r="R26" s="193">
        <f>G21</f>
        <v>2.1</v>
      </c>
      <c r="S26" s="193">
        <f>H21</f>
        <v>1.76</v>
      </c>
      <c r="T26" s="193">
        <f>I21</f>
        <v>1.48</v>
      </c>
      <c r="U26" s="193">
        <f>J21</f>
        <v>1.24</v>
      </c>
      <c r="V26" s="193">
        <f>K21</f>
        <v>1.04</v>
      </c>
      <c r="W26" s="102"/>
      <c r="X26" s="102"/>
      <c r="Y26" s="102"/>
    </row>
    <row r="27" spans="1:25" x14ac:dyDescent="0.25">
      <c r="A27" s="30"/>
      <c r="B27" s="176" t="s">
        <v>453</v>
      </c>
      <c r="C27" s="177"/>
      <c r="D27" s="178"/>
      <c r="E27" s="179"/>
      <c r="F27" s="152" t="s">
        <v>341</v>
      </c>
      <c r="G27" s="167">
        <v>2.1</v>
      </c>
      <c r="H27" s="168">
        <v>1.72</v>
      </c>
      <c r="I27" s="168">
        <v>1.41</v>
      </c>
      <c r="J27" s="168">
        <v>1.1599999999999999</v>
      </c>
      <c r="K27" s="169">
        <v>0.95</v>
      </c>
      <c r="L27" s="31"/>
      <c r="O27" s="102"/>
      <c r="P27" s="102"/>
      <c r="Q27" s="201" t="s">
        <v>466</v>
      </c>
      <c r="R27" s="193">
        <f>H15</f>
        <v>1</v>
      </c>
      <c r="S27" s="193">
        <f>R27</f>
        <v>1</v>
      </c>
      <c r="T27" s="193">
        <f>S27</f>
        <v>1</v>
      </c>
      <c r="U27" s="193">
        <f>T27</f>
        <v>1</v>
      </c>
      <c r="V27" s="193">
        <f>U27</f>
        <v>1</v>
      </c>
      <c r="W27" s="102"/>
      <c r="X27" s="102"/>
      <c r="Y27" s="102"/>
    </row>
    <row r="28" spans="1:25" x14ac:dyDescent="0.25">
      <c r="A28" s="30"/>
      <c r="B28" s="114" t="s">
        <v>772</v>
      </c>
      <c r="C28" s="52"/>
      <c r="D28" s="27"/>
      <c r="E28" s="61"/>
      <c r="F28" s="152" t="s">
        <v>407</v>
      </c>
      <c r="G28" s="148">
        <v>1700</v>
      </c>
      <c r="H28" s="148">
        <v>1632</v>
      </c>
      <c r="I28" s="148">
        <v>1567</v>
      </c>
      <c r="J28" s="148">
        <v>1504</v>
      </c>
      <c r="K28" s="149">
        <v>1444</v>
      </c>
      <c r="L28" s="31"/>
      <c r="O28" s="102"/>
      <c r="P28" s="194" t="s">
        <v>460</v>
      </c>
      <c r="Q28" s="195"/>
      <c r="R28" s="196" t="str">
        <f>IF(R26&gt;=R27,"yes","no")</f>
        <v>yes</v>
      </c>
      <c r="S28" s="196" t="str">
        <f>IF(S26&gt;=S27,"yes","no")</f>
        <v>yes</v>
      </c>
      <c r="T28" s="196" t="str">
        <f>IF(T26&gt;=T27,"yes","no")</f>
        <v>yes</v>
      </c>
      <c r="U28" s="196" t="str">
        <f>IF(U26&gt;=U27,"yes","no")</f>
        <v>yes</v>
      </c>
      <c r="V28" s="196" t="str">
        <f>IF(V26&gt;=V27,"yes","no")</f>
        <v>yes</v>
      </c>
      <c r="W28" s="197" t="s">
        <v>461</v>
      </c>
      <c r="X28" s="198"/>
      <c r="Y28" s="142" t="s">
        <v>474</v>
      </c>
    </row>
    <row r="29" spans="1:25" x14ac:dyDescent="0.25">
      <c r="A29" s="30"/>
      <c r="B29" s="96"/>
      <c r="C29" s="97"/>
      <c r="D29" s="48"/>
      <c r="E29" s="62"/>
      <c r="F29" s="153" t="s">
        <v>408</v>
      </c>
      <c r="G29" s="150">
        <v>1615</v>
      </c>
      <c r="H29" s="150">
        <v>1744</v>
      </c>
      <c r="I29" s="150">
        <v>1884</v>
      </c>
      <c r="J29" s="150">
        <v>2035</v>
      </c>
      <c r="K29" s="151">
        <v>2198</v>
      </c>
      <c r="L29" s="31"/>
      <c r="O29" s="102"/>
      <c r="P29" s="102"/>
      <c r="Q29" s="102"/>
      <c r="R29" s="102"/>
      <c r="S29" s="102"/>
      <c r="T29" s="102"/>
      <c r="U29" s="102"/>
      <c r="V29" s="102"/>
      <c r="W29" s="102"/>
      <c r="X29" s="102"/>
      <c r="Y29" s="102"/>
    </row>
    <row r="30" spans="1:25" x14ac:dyDescent="0.25">
      <c r="A30" s="30"/>
      <c r="B30" s="36"/>
      <c r="C30" s="36"/>
      <c r="D30" s="36"/>
      <c r="E30" s="36"/>
      <c r="F30" s="36"/>
      <c r="G30" s="36"/>
      <c r="H30" s="36"/>
      <c r="I30" s="36"/>
      <c r="J30" s="36"/>
      <c r="K30" s="36"/>
      <c r="L30" s="31"/>
      <c r="O30" s="102"/>
      <c r="P30" s="102"/>
      <c r="Q30" s="102"/>
      <c r="R30" s="102"/>
      <c r="S30" s="102"/>
      <c r="T30" s="102"/>
      <c r="U30" s="102"/>
      <c r="V30" s="102"/>
      <c r="W30" s="102"/>
      <c r="X30" s="102"/>
      <c r="Y30" s="102"/>
    </row>
    <row r="31" spans="1:25" x14ac:dyDescent="0.25">
      <c r="A31" s="35" t="s">
        <v>4</v>
      </c>
      <c r="B31" s="36" t="s">
        <v>475</v>
      </c>
      <c r="C31" s="36"/>
      <c r="D31" s="36"/>
      <c r="E31" s="36"/>
      <c r="F31" s="36"/>
      <c r="G31" s="36"/>
      <c r="H31" s="36"/>
      <c r="I31" s="36"/>
      <c r="J31" s="36"/>
      <c r="K31" s="36"/>
      <c r="L31" s="31"/>
      <c r="O31" s="202" t="s">
        <v>467</v>
      </c>
      <c r="P31" t="s">
        <v>468</v>
      </c>
      <c r="Q31"/>
      <c r="R31"/>
      <c r="S31"/>
      <c r="T31"/>
      <c r="U31" s="203" t="s">
        <v>407</v>
      </c>
      <c r="V31" s="189" t="s">
        <v>456</v>
      </c>
      <c r="W31" s="190" t="s">
        <v>408</v>
      </c>
      <c r="X31" s="191"/>
      <c r="Y31" s="102"/>
    </row>
    <row r="32" spans="1:25" ht="15.75" thickBot="1" x14ac:dyDescent="0.3">
      <c r="A32" s="9">
        <f>INDEX('Point Grid'!$C$8:$I$35,MATCH($A$1,'Point Grid'!$A$8:$A$35,0),MATCH(A31,'Point Grid'!$C$7:$I$7,0))</f>
        <v>0.5</v>
      </c>
      <c r="B32" s="36"/>
      <c r="C32" s="36"/>
      <c r="D32" s="36"/>
      <c r="E32" s="36"/>
      <c r="F32" s="36"/>
      <c r="G32" s="36"/>
      <c r="H32" s="36"/>
      <c r="I32" s="36"/>
      <c r="J32" s="36"/>
      <c r="K32" s="36"/>
      <c r="L32" s="31"/>
      <c r="O32"/>
      <c r="P32"/>
      <c r="Q32"/>
      <c r="R32"/>
      <c r="S32"/>
      <c r="T32"/>
      <c r="U32"/>
      <c r="V32"/>
      <c r="W32"/>
      <c r="X32" s="102"/>
      <c r="Y32" s="102"/>
    </row>
    <row r="33" spans="1:25" ht="15.75" thickBot="1" x14ac:dyDescent="0.3">
      <c r="A33" s="5"/>
      <c r="B33" s="36"/>
      <c r="C33" s="36"/>
      <c r="D33" s="36"/>
      <c r="E33" s="36"/>
      <c r="F33" s="36"/>
      <c r="G33" s="36"/>
      <c r="H33" s="36"/>
      <c r="I33" s="36"/>
      <c r="J33" s="36"/>
      <c r="K33" s="36"/>
      <c r="L33" s="31"/>
      <c r="O33" s="102"/>
      <c r="P33" s="170"/>
      <c r="Q33" s="171"/>
      <c r="R33" s="192">
        <f>R25</f>
        <v>2022</v>
      </c>
      <c r="S33" s="192">
        <f>R33+1</f>
        <v>2023</v>
      </c>
      <c r="T33" s="192">
        <f>S33+1</f>
        <v>2024</v>
      </c>
      <c r="U33" s="192">
        <f>T33+1</f>
        <v>2025</v>
      </c>
      <c r="V33" s="192">
        <f>U33+1</f>
        <v>2026</v>
      </c>
      <c r="W33" s="102"/>
      <c r="X33" s="102"/>
      <c r="Y33" s="102"/>
    </row>
    <row r="34" spans="1:25" x14ac:dyDescent="0.25">
      <c r="A34" s="30"/>
      <c r="B34" s="36"/>
      <c r="C34" s="36"/>
      <c r="D34" s="36"/>
      <c r="E34" s="36"/>
      <c r="F34" s="36"/>
      <c r="G34" s="36"/>
      <c r="H34" s="36"/>
      <c r="I34" s="36"/>
      <c r="J34" s="36"/>
      <c r="K34" s="36"/>
      <c r="L34" s="31"/>
      <c r="O34" s="102"/>
      <c r="P34" s="102" t="s">
        <v>407</v>
      </c>
      <c r="Q34" s="200"/>
      <c r="R34" s="204">
        <f t="shared" ref="R34:V35" si="0">G25</f>
        <v>1700</v>
      </c>
      <c r="S34" s="204">
        <f t="shared" si="0"/>
        <v>1700</v>
      </c>
      <c r="T34" s="204">
        <f t="shared" si="0"/>
        <v>1700</v>
      </c>
      <c r="U34" s="204">
        <f t="shared" si="0"/>
        <v>1700</v>
      </c>
      <c r="V34" s="204">
        <f t="shared" si="0"/>
        <v>1700</v>
      </c>
      <c r="W34" s="102"/>
      <c r="X34" s="102"/>
      <c r="Y34" s="102"/>
    </row>
    <row r="35" spans="1:25" x14ac:dyDescent="0.25">
      <c r="A35" s="35" t="s">
        <v>5</v>
      </c>
      <c r="B35" s="36" t="s">
        <v>476</v>
      </c>
      <c r="C35" s="36"/>
      <c r="D35" s="36"/>
      <c r="E35" s="36"/>
      <c r="F35" s="36"/>
      <c r="G35" s="36"/>
      <c r="H35" s="36"/>
      <c r="I35" s="36"/>
      <c r="J35" s="36"/>
      <c r="K35" s="36"/>
      <c r="L35" s="31"/>
      <c r="O35" s="102"/>
      <c r="P35" s="102" t="s">
        <v>408</v>
      </c>
      <c r="Q35" s="201"/>
      <c r="R35" s="204">
        <f t="shared" si="0"/>
        <v>1615</v>
      </c>
      <c r="S35" s="204">
        <f t="shared" si="0"/>
        <v>1728</v>
      </c>
      <c r="T35" s="204">
        <f t="shared" si="0"/>
        <v>1849</v>
      </c>
      <c r="U35" s="204">
        <f t="shared" si="0"/>
        <v>1978</v>
      </c>
      <c r="V35" s="204">
        <f t="shared" si="0"/>
        <v>2116</v>
      </c>
      <c r="W35" s="102"/>
      <c r="X35" s="102"/>
      <c r="Y35" s="102"/>
    </row>
    <row r="36" spans="1:25" ht="15.75" thickBot="1" x14ac:dyDescent="0.3">
      <c r="A36" s="9">
        <f>INDEX('Point Grid'!$C$8:$I$35,MATCH($A$1,'Point Grid'!$A$8:$A$35,0),MATCH(A35,'Point Grid'!$C$7:$I$7,0))</f>
        <v>0.5</v>
      </c>
      <c r="B36" s="36"/>
      <c r="C36" s="36"/>
      <c r="D36" s="36"/>
      <c r="E36" s="36"/>
      <c r="F36" s="36"/>
      <c r="G36" s="36"/>
      <c r="H36" s="36"/>
      <c r="I36" s="36"/>
      <c r="J36" s="36"/>
      <c r="K36" s="36"/>
      <c r="L36" s="31"/>
      <c r="O36" s="102"/>
      <c r="P36" s="194" t="s">
        <v>460</v>
      </c>
      <c r="Q36" s="195"/>
      <c r="R36" s="196" t="str">
        <f>IF(R34&gt;=R35,"yes","no")</f>
        <v>yes</v>
      </c>
      <c r="S36" s="196" t="str">
        <f>IF(S34&gt;=S35,"yes","no")</f>
        <v>no</v>
      </c>
      <c r="T36" s="196" t="str">
        <f>IF(T34&gt;=T35,"yes","no")</f>
        <v>no</v>
      </c>
      <c r="U36" s="196" t="str">
        <f>IF(U34&gt;=U35,"yes","no")</f>
        <v>no</v>
      </c>
      <c r="V36" s="196" t="str">
        <f>IF(V34&gt;=V35,"yes","no")</f>
        <v>no</v>
      </c>
      <c r="W36" s="197" t="s">
        <v>461</v>
      </c>
      <c r="X36" s="198"/>
      <c r="Y36" s="142" t="s">
        <v>792</v>
      </c>
    </row>
    <row r="37" spans="1:25" ht="15.75" thickBot="1" x14ac:dyDescent="0.3">
      <c r="A37" s="5"/>
      <c r="B37" s="36"/>
      <c r="C37" s="36"/>
      <c r="D37" s="36"/>
      <c r="E37" s="36"/>
      <c r="F37" s="36"/>
      <c r="G37" s="36"/>
      <c r="H37" s="36"/>
      <c r="I37" s="36"/>
      <c r="J37" s="36"/>
      <c r="K37" s="36"/>
      <c r="L37" s="31"/>
      <c r="O37" s="102"/>
      <c r="P37" s="102"/>
      <c r="Q37" s="102"/>
      <c r="R37" s="102"/>
      <c r="S37" s="102"/>
      <c r="T37" s="102"/>
      <c r="U37" s="102"/>
      <c r="V37" s="102"/>
      <c r="W37" s="102"/>
      <c r="X37" s="102"/>
      <c r="Y37" s="102"/>
    </row>
    <row r="38" spans="1:25" x14ac:dyDescent="0.25">
      <c r="A38" s="30"/>
      <c r="B38" s="36"/>
      <c r="C38" s="36"/>
      <c r="D38" s="36"/>
      <c r="E38" s="36"/>
      <c r="F38" s="36"/>
      <c r="G38" s="36"/>
      <c r="H38" s="36"/>
      <c r="I38" s="36"/>
      <c r="J38" s="36"/>
      <c r="K38" s="36"/>
      <c r="L38" s="31"/>
      <c r="O38" s="102"/>
      <c r="P38" s="102"/>
      <c r="Q38" s="102"/>
      <c r="R38" s="102"/>
      <c r="S38" s="102"/>
      <c r="T38" s="102"/>
      <c r="U38" s="102"/>
      <c r="V38" s="102"/>
      <c r="W38" s="102"/>
      <c r="X38" s="102"/>
      <c r="Y38" s="102"/>
    </row>
    <row r="39" spans="1:25" x14ac:dyDescent="0.25">
      <c r="A39" s="35" t="s">
        <v>6</v>
      </c>
      <c r="B39" s="36" t="s">
        <v>481</v>
      </c>
      <c r="C39" s="36"/>
      <c r="D39" s="36"/>
      <c r="E39" s="36"/>
      <c r="F39" s="36"/>
      <c r="G39" s="36"/>
      <c r="H39" s="36"/>
      <c r="I39" s="36"/>
      <c r="J39" s="36"/>
      <c r="K39" s="36"/>
      <c r="L39" s="31"/>
      <c r="O39" s="202" t="s">
        <v>469</v>
      </c>
      <c r="P39" t="s">
        <v>470</v>
      </c>
      <c r="Q39"/>
      <c r="R39"/>
      <c r="S39"/>
      <c r="T39"/>
      <c r="U39" s="203" t="s">
        <v>407</v>
      </c>
      <c r="V39" s="189" t="s">
        <v>456</v>
      </c>
      <c r="W39" s="190" t="s">
        <v>408</v>
      </c>
      <c r="X39" s="191"/>
      <c r="Y39" s="102"/>
    </row>
    <row r="40" spans="1:25" ht="15.75" thickBot="1" x14ac:dyDescent="0.3">
      <c r="A40" s="9">
        <f>INDEX('Point Grid'!$C$8:$I$35,MATCH($A$1,'Point Grid'!$A$8:$A$35,0),MATCH(A39,'Point Grid'!$C$7:$I$7,0))</f>
        <v>0.5</v>
      </c>
      <c r="B40" s="27"/>
      <c r="C40" s="27"/>
      <c r="D40" s="27"/>
      <c r="E40" s="27"/>
      <c r="F40" s="27"/>
      <c r="G40" s="27"/>
      <c r="H40" s="27"/>
      <c r="I40" s="27"/>
      <c r="J40" s="27"/>
      <c r="K40" s="27"/>
      <c r="L40" s="31"/>
      <c r="O40"/>
      <c r="P40"/>
      <c r="Q40"/>
      <c r="R40"/>
      <c r="S40"/>
      <c r="T40"/>
      <c r="U40"/>
      <c r="V40"/>
      <c r="W40"/>
      <c r="X40" s="102"/>
      <c r="Y40" s="102"/>
    </row>
    <row r="41" spans="1:25" ht="15.75" thickBot="1" x14ac:dyDescent="0.3">
      <c r="A41" s="5"/>
      <c r="B41" s="27"/>
      <c r="C41" s="27"/>
      <c r="D41" s="27"/>
      <c r="E41" s="27"/>
      <c r="F41" s="27"/>
      <c r="G41" s="27"/>
      <c r="H41" s="27"/>
      <c r="I41" s="27"/>
      <c r="J41" s="27"/>
      <c r="K41" s="27"/>
      <c r="L41" s="31"/>
      <c r="O41" s="102"/>
      <c r="P41" s="170"/>
      <c r="Q41" s="171"/>
      <c r="R41" s="192">
        <f>R33</f>
        <v>2022</v>
      </c>
      <c r="S41" s="192">
        <f>R41+1</f>
        <v>2023</v>
      </c>
      <c r="T41" s="192">
        <f>S41+1</f>
        <v>2024</v>
      </c>
      <c r="U41" s="192">
        <f>T41+1</f>
        <v>2025</v>
      </c>
      <c r="V41" s="192">
        <f>U41+1</f>
        <v>2026</v>
      </c>
      <c r="W41" s="102"/>
      <c r="X41" s="102"/>
      <c r="Y41" s="102"/>
    </row>
    <row r="42" spans="1:25" x14ac:dyDescent="0.25">
      <c r="A42" s="30"/>
      <c r="B42" s="27"/>
      <c r="C42" s="27"/>
      <c r="D42" s="27"/>
      <c r="E42" s="27"/>
      <c r="F42" s="27"/>
      <c r="G42" s="27"/>
      <c r="H42" s="27"/>
      <c r="I42" s="27"/>
      <c r="J42" s="27"/>
      <c r="K42" s="27"/>
      <c r="L42" s="31"/>
      <c r="O42" s="102"/>
      <c r="P42" s="102" t="s">
        <v>407</v>
      </c>
      <c r="Q42" s="200"/>
      <c r="R42" s="204">
        <f t="shared" ref="R42:V43" si="1">G28</f>
        <v>1700</v>
      </c>
      <c r="S42" s="204">
        <f t="shared" si="1"/>
        <v>1632</v>
      </c>
      <c r="T42" s="204">
        <f t="shared" si="1"/>
        <v>1567</v>
      </c>
      <c r="U42" s="204">
        <f t="shared" si="1"/>
        <v>1504</v>
      </c>
      <c r="V42" s="204">
        <f t="shared" si="1"/>
        <v>1444</v>
      </c>
      <c r="W42" s="102"/>
      <c r="X42" s="102"/>
      <c r="Y42" s="102"/>
    </row>
    <row r="43" spans="1:25" x14ac:dyDescent="0.25">
      <c r="A43" s="35" t="s">
        <v>7</v>
      </c>
      <c r="B43" s="27" t="s">
        <v>482</v>
      </c>
      <c r="C43" s="27"/>
      <c r="D43" s="27"/>
      <c r="E43" s="27"/>
      <c r="F43" s="27"/>
      <c r="G43" s="27"/>
      <c r="H43" s="27"/>
      <c r="I43" s="27"/>
      <c r="J43" s="27"/>
      <c r="K43" s="27"/>
      <c r="L43" s="31"/>
      <c r="O43" s="102"/>
      <c r="P43" s="102" t="s">
        <v>408</v>
      </c>
      <c r="Q43" s="201"/>
      <c r="R43" s="204">
        <f t="shared" si="1"/>
        <v>1615</v>
      </c>
      <c r="S43" s="204">
        <f t="shared" si="1"/>
        <v>1744</v>
      </c>
      <c r="T43" s="204">
        <f t="shared" si="1"/>
        <v>1884</v>
      </c>
      <c r="U43" s="204">
        <f t="shared" si="1"/>
        <v>2035</v>
      </c>
      <c r="V43" s="204">
        <f t="shared" si="1"/>
        <v>2198</v>
      </c>
      <c r="W43" s="102"/>
      <c r="X43" s="102"/>
      <c r="Y43" s="102"/>
    </row>
    <row r="44" spans="1:25" ht="15.75" thickBot="1" x14ac:dyDescent="0.3">
      <c r="A44" s="9">
        <f>INDEX('Point Grid'!$C$8:$I$35,MATCH($A$1,'Point Grid'!$A$8:$A$35,0),MATCH(A43,'Point Grid'!$C$7:$I$7,0))</f>
        <v>0.25</v>
      </c>
      <c r="B44" s="27"/>
      <c r="C44" s="27"/>
      <c r="D44" s="27"/>
      <c r="E44" s="27"/>
      <c r="F44" s="27"/>
      <c r="G44" s="27"/>
      <c r="H44" s="27"/>
      <c r="I44" s="27"/>
      <c r="J44" s="27"/>
      <c r="K44" s="27"/>
      <c r="L44" s="31"/>
      <c r="O44" s="102"/>
      <c r="P44" s="194" t="s">
        <v>460</v>
      </c>
      <c r="Q44" s="195"/>
      <c r="R44" s="196" t="str">
        <f>IF(R42&gt;=R43,"yes","no")</f>
        <v>yes</v>
      </c>
      <c r="S44" s="196" t="str">
        <f>IF(S42&gt;=S43,"yes","no")</f>
        <v>no</v>
      </c>
      <c r="T44" s="196" t="str">
        <f>IF(T42&gt;=T43,"yes","no")</f>
        <v>no</v>
      </c>
      <c r="U44" s="196" t="str">
        <f>IF(U42&gt;=U43,"yes","no")</f>
        <v>no</v>
      </c>
      <c r="V44" s="196" t="str">
        <f>IF(V42&gt;=V43,"yes","no")</f>
        <v>no</v>
      </c>
      <c r="W44" s="197" t="s">
        <v>461</v>
      </c>
      <c r="X44" s="198"/>
      <c r="Y44" s="142" t="s">
        <v>792</v>
      </c>
    </row>
    <row r="45" spans="1:25" ht="15.75" thickBot="1" x14ac:dyDescent="0.3">
      <c r="A45" s="5"/>
      <c r="B45" s="208" t="s">
        <v>483</v>
      </c>
      <c r="C45" s="36"/>
      <c r="D45" s="27"/>
      <c r="E45" s="27" t="s">
        <v>484</v>
      </c>
      <c r="F45" s="27"/>
      <c r="G45" s="27"/>
      <c r="H45" s="27"/>
      <c r="I45" s="27"/>
      <c r="J45" s="27"/>
      <c r="K45" s="27"/>
      <c r="L45" s="31"/>
      <c r="O45" s="102"/>
      <c r="P45" s="102"/>
      <c r="Q45" s="102"/>
      <c r="R45" s="102"/>
      <c r="S45" s="102"/>
      <c r="T45" s="102"/>
      <c r="U45" s="102"/>
      <c r="V45" s="102"/>
      <c r="W45" s="102"/>
      <c r="X45" s="102"/>
      <c r="Y45" s="102"/>
    </row>
    <row r="46" spans="1:25" x14ac:dyDescent="0.25">
      <c r="A46" s="30"/>
      <c r="B46" s="27" t="s">
        <v>485</v>
      </c>
      <c r="C46" s="27"/>
      <c r="D46" s="27"/>
      <c r="E46" s="27" t="s">
        <v>486</v>
      </c>
      <c r="F46" s="27"/>
      <c r="G46" s="27"/>
      <c r="H46" s="27"/>
      <c r="I46" s="27"/>
      <c r="J46" s="27"/>
      <c r="K46" s="27"/>
      <c r="L46" s="31"/>
      <c r="O46"/>
      <c r="P46"/>
      <c r="Q46"/>
      <c r="R46"/>
      <c r="S46"/>
      <c r="T46"/>
      <c r="U46"/>
      <c r="V46"/>
      <c r="W46"/>
      <c r="X46"/>
      <c r="Y46"/>
    </row>
    <row r="47" spans="1:25" x14ac:dyDescent="0.25">
      <c r="A47" s="30"/>
      <c r="B47" s="27"/>
      <c r="C47" s="27"/>
      <c r="D47" s="27"/>
      <c r="E47" s="27"/>
      <c r="F47" s="27"/>
      <c r="G47" s="27"/>
      <c r="H47" s="27"/>
      <c r="I47" s="27"/>
      <c r="J47" s="27"/>
      <c r="K47" s="27"/>
      <c r="L47" s="31"/>
      <c r="O47" s="205" t="s">
        <v>406</v>
      </c>
      <c r="P47" s="102" t="s">
        <v>471</v>
      </c>
      <c r="Q47" s="102"/>
      <c r="R47" s="102"/>
      <c r="S47" s="102"/>
      <c r="T47" s="102"/>
      <c r="U47" s="102"/>
      <c r="V47" s="102"/>
      <c r="W47" s="102"/>
      <c r="X47"/>
      <c r="Y47"/>
    </row>
    <row r="48" spans="1:25" x14ac:dyDescent="0.25">
      <c r="A48" s="35" t="s">
        <v>8</v>
      </c>
      <c r="B48" s="27" t="s">
        <v>487</v>
      </c>
      <c r="C48" s="27"/>
      <c r="D48" s="27"/>
      <c r="E48" s="27"/>
      <c r="F48" s="27"/>
      <c r="G48" s="27"/>
      <c r="H48" s="27"/>
      <c r="I48" s="27"/>
      <c r="J48" s="27"/>
      <c r="K48" s="27"/>
      <c r="L48" s="31"/>
      <c r="O48" s="102"/>
      <c r="P48" s="102"/>
      <c r="Q48" s="102"/>
      <c r="R48" s="102"/>
      <c r="S48" s="102"/>
      <c r="T48" s="102"/>
      <c r="U48" s="102"/>
      <c r="V48" s="102"/>
      <c r="W48" s="102"/>
      <c r="X48"/>
      <c r="Y48"/>
    </row>
    <row r="49" spans="1:25" ht="15.75" thickBot="1" x14ac:dyDescent="0.3">
      <c r="A49" s="9">
        <f>INDEX('Point Grid'!$C$8:$I$35,MATCH($A$1,'Point Grid'!$A$8:$A$35,0),MATCH(A48,'Point Grid'!$C$7:$I$7,0))</f>
        <v>1</v>
      </c>
      <c r="B49" s="27"/>
      <c r="C49" s="27"/>
      <c r="D49" s="27"/>
      <c r="E49" s="27"/>
      <c r="F49" s="27"/>
      <c r="G49" s="27"/>
      <c r="H49" s="27"/>
      <c r="I49" s="27"/>
      <c r="J49" s="27"/>
      <c r="K49" s="27"/>
      <c r="L49" s="31"/>
      <c r="O49" s="102"/>
      <c r="P49" s="102" t="s">
        <v>472</v>
      </c>
      <c r="Q49" s="102"/>
      <c r="R49" s="206" t="s">
        <v>793</v>
      </c>
      <c r="S49" s="102" t="s">
        <v>473</v>
      </c>
      <c r="T49" s="102"/>
      <c r="U49" s="102"/>
      <c r="V49" s="102"/>
      <c r="W49" s="102"/>
      <c r="X49"/>
      <c r="Y49"/>
    </row>
    <row r="50" spans="1:25" ht="15.75" thickBot="1" x14ac:dyDescent="0.3">
      <c r="A50" s="5"/>
      <c r="B50" s="27"/>
      <c r="C50" s="27"/>
      <c r="D50" s="27"/>
      <c r="E50" s="27"/>
      <c r="F50" s="27"/>
      <c r="G50" s="27"/>
      <c r="H50" s="27"/>
      <c r="I50" s="27"/>
      <c r="J50" s="27"/>
      <c r="K50" s="27"/>
      <c r="L50" s="31"/>
    </row>
    <row r="51" spans="1:25" x14ac:dyDescent="0.25">
      <c r="A51" s="30"/>
      <c r="B51" s="27"/>
      <c r="C51" s="27"/>
      <c r="D51" s="27"/>
      <c r="E51" s="27"/>
      <c r="F51" s="27"/>
      <c r="G51" s="27"/>
      <c r="H51" s="27"/>
      <c r="I51" s="27"/>
      <c r="J51" s="27"/>
      <c r="K51" s="27"/>
      <c r="L51" s="31"/>
    </row>
    <row r="52" spans="1:25" x14ac:dyDescent="0.25">
      <c r="A52" s="30"/>
      <c r="B52" s="27"/>
      <c r="C52" s="27"/>
      <c r="D52" s="27"/>
      <c r="E52" s="27"/>
      <c r="F52" s="27"/>
      <c r="G52" s="27"/>
      <c r="H52" s="27"/>
      <c r="I52" s="27"/>
      <c r="J52" s="27"/>
      <c r="K52" s="27"/>
      <c r="L52" s="31"/>
      <c r="N52" s="57" t="s">
        <v>4</v>
      </c>
      <c r="O52" s="29" t="s">
        <v>791</v>
      </c>
    </row>
    <row r="53" spans="1:25" ht="15.75" thickBot="1" x14ac:dyDescent="0.3">
      <c r="A53" s="32"/>
      <c r="B53" s="33"/>
      <c r="C53" s="33"/>
      <c r="D53" s="33"/>
      <c r="E53" s="33"/>
      <c r="F53" s="33"/>
      <c r="G53" s="33"/>
      <c r="H53" s="33"/>
      <c r="I53" s="33"/>
      <c r="J53" s="33"/>
      <c r="K53" s="33"/>
      <c r="L53" s="34"/>
      <c r="O53" s="29" t="s">
        <v>477</v>
      </c>
    </row>
    <row r="55" spans="1:25" x14ac:dyDescent="0.25">
      <c r="O55" s="29" t="s">
        <v>773</v>
      </c>
    </row>
    <row r="56" spans="1:25" x14ac:dyDescent="0.25">
      <c r="O56" s="29" t="s">
        <v>478</v>
      </c>
    </row>
    <row r="58" spans="1:25" x14ac:dyDescent="0.25">
      <c r="N58" s="57" t="s">
        <v>5</v>
      </c>
      <c r="O58" s="29" t="s">
        <v>775</v>
      </c>
    </row>
    <row r="59" spans="1:25" x14ac:dyDescent="0.25">
      <c r="O59" s="29" t="s">
        <v>479</v>
      </c>
    </row>
    <row r="61" spans="1:25" x14ac:dyDescent="0.25">
      <c r="O61" s="29" t="s">
        <v>776</v>
      </c>
    </row>
    <row r="62" spans="1:25" x14ac:dyDescent="0.25">
      <c r="O62" s="29" t="s">
        <v>480</v>
      </c>
    </row>
    <row r="64" spans="1:25" x14ac:dyDescent="0.25">
      <c r="N64" s="57" t="s">
        <v>6</v>
      </c>
      <c r="O64" s="29" t="s">
        <v>488</v>
      </c>
    </row>
    <row r="65" spans="14:16" x14ac:dyDescent="0.25">
      <c r="O65" s="29" t="s">
        <v>489</v>
      </c>
    </row>
    <row r="67" spans="14:16" x14ac:dyDescent="0.25">
      <c r="N67" s="57" t="s">
        <v>7</v>
      </c>
      <c r="O67" s="29" t="s">
        <v>490</v>
      </c>
    </row>
    <row r="68" spans="14:16" x14ac:dyDescent="0.25">
      <c r="O68" s="29" t="s">
        <v>491</v>
      </c>
    </row>
    <row r="69" spans="14:16" x14ac:dyDescent="0.25">
      <c r="O69" s="29" t="s">
        <v>492</v>
      </c>
    </row>
    <row r="71" spans="14:16" x14ac:dyDescent="0.25">
      <c r="N71" s="57" t="s">
        <v>8</v>
      </c>
      <c r="O71" s="209" t="s">
        <v>493</v>
      </c>
      <c r="P71" s="210" t="s">
        <v>494</v>
      </c>
    </row>
    <row r="72" spans="14:16" x14ac:dyDescent="0.25">
      <c r="O72" s="29" t="s">
        <v>495</v>
      </c>
    </row>
    <row r="73" spans="14:16" x14ac:dyDescent="0.25">
      <c r="O73" s="29" t="s">
        <v>496</v>
      </c>
    </row>
    <row r="74" spans="14:16" x14ac:dyDescent="0.25">
      <c r="O74" s="29" t="s">
        <v>497</v>
      </c>
    </row>
    <row r="75" spans="14:16" x14ac:dyDescent="0.25">
      <c r="O75" s="29" t="s">
        <v>498</v>
      </c>
    </row>
  </sheetData>
  <mergeCells count="1">
    <mergeCell ref="K1:L1"/>
  </mergeCells>
  <conditionalFormatting sqref="B1">
    <cfRule type="cellIs" dxfId="43" priority="15" operator="equal">
      <formula>"Incomplete"</formula>
    </cfRule>
    <cfRule type="cellIs" dxfId="42" priority="16" operator="equal">
      <formula>"Flag for Review"</formula>
    </cfRule>
    <cfRule type="cellIs" dxfId="41" priority="17" operator="equal">
      <formula>"Finished"</formula>
    </cfRule>
  </conditionalFormatting>
  <conditionalFormatting sqref="R49">
    <cfRule type="cellIs" dxfId="40" priority="1" operator="equal">
      <formula>"is"</formula>
    </cfRule>
    <cfRule type="cellIs" dxfId="39" priority="2" operator="equal">
      <formula>"is not"</formula>
    </cfRule>
  </conditionalFormatting>
  <conditionalFormatting sqref="R20:V20">
    <cfRule type="cellIs" dxfId="38" priority="12" operator="equal">
      <formula>"yes"</formula>
    </cfRule>
    <cfRule type="cellIs" dxfId="37" priority="14" stopIfTrue="1" operator="equal">
      <formula>"no"</formula>
    </cfRule>
  </conditionalFormatting>
  <conditionalFormatting sqref="R28:V28">
    <cfRule type="cellIs" dxfId="36" priority="9" operator="equal">
      <formula>"yes"</formula>
    </cfRule>
    <cfRule type="cellIs" dxfId="35" priority="11" stopIfTrue="1" operator="equal">
      <formula>"no"</formula>
    </cfRule>
  </conditionalFormatting>
  <conditionalFormatting sqref="R36:V36">
    <cfRule type="cellIs" dxfId="34" priority="6" operator="equal">
      <formula>"yes"</formula>
    </cfRule>
    <cfRule type="cellIs" dxfId="33" priority="8" stopIfTrue="1" operator="equal">
      <formula>"no"</formula>
    </cfRule>
  </conditionalFormatting>
  <conditionalFormatting sqref="R44:V44">
    <cfRule type="cellIs" dxfId="32" priority="3" operator="equal">
      <formula>"yes"</formula>
    </cfRule>
    <cfRule type="cellIs" dxfId="31" priority="5" stopIfTrue="1" operator="equal">
      <formula>"no"</formula>
    </cfRule>
  </conditionalFormatting>
  <conditionalFormatting sqref="S20:V20">
    <cfRule type="cellIs" dxfId="30" priority="13" operator="equal">
      <formula>"no"</formula>
    </cfRule>
  </conditionalFormatting>
  <conditionalFormatting sqref="S28:V28">
    <cfRule type="cellIs" dxfId="29" priority="10" operator="equal">
      <formula>"no"</formula>
    </cfRule>
  </conditionalFormatting>
  <conditionalFormatting sqref="S36:V36">
    <cfRule type="cellIs" dxfId="28" priority="7" operator="equal">
      <formula>"no"</formula>
    </cfRule>
  </conditionalFormatting>
  <conditionalFormatting sqref="S44:V44">
    <cfRule type="cellIs" dxfId="27" priority="4" operator="equal">
      <formula>"no"</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K93"/>
  <sheetViews>
    <sheetView workbookViewId="0"/>
  </sheetViews>
  <sheetFormatPr defaultRowHeight="15" x14ac:dyDescent="0.25"/>
  <cols>
    <col min="1" max="1" width="14.140625" customWidth="1"/>
    <col min="2" max="2" width="13" customWidth="1"/>
    <col min="3" max="3" width="20.42578125" bestFit="1" customWidth="1"/>
    <col min="4" max="6" width="11.5703125" bestFit="1" customWidth="1"/>
    <col min="7" max="7" width="12.28515625" bestFit="1" customWidth="1"/>
    <col min="17" max="17" width="11" customWidth="1"/>
    <col min="22" max="22" width="11.5703125" bestFit="1" customWidth="1"/>
  </cols>
  <sheetData>
    <row r="1" spans="1:23" x14ac:dyDescent="0.25">
      <c r="A1" s="7">
        <v>20</v>
      </c>
      <c r="B1" s="41" t="s">
        <v>12</v>
      </c>
      <c r="C1" s="28"/>
      <c r="D1" s="28"/>
      <c r="E1" s="28"/>
      <c r="F1" s="28"/>
      <c r="G1" s="28"/>
      <c r="H1" s="28"/>
      <c r="I1" s="28"/>
      <c r="J1" s="28"/>
      <c r="K1" s="28"/>
      <c r="L1" s="28"/>
      <c r="M1" s="28"/>
      <c r="N1" s="28"/>
      <c r="O1" s="28"/>
      <c r="P1" s="388" t="s">
        <v>30</v>
      </c>
      <c r="Q1" s="390"/>
      <c r="S1" s="29" t="s">
        <v>54</v>
      </c>
      <c r="T1" s="70" t="s">
        <v>1196</v>
      </c>
      <c r="W1" s="1"/>
    </row>
    <row r="2" spans="1:23" x14ac:dyDescent="0.25">
      <c r="A2" s="30"/>
      <c r="B2" s="27"/>
      <c r="C2" s="27"/>
      <c r="D2" s="27"/>
      <c r="E2" s="27"/>
      <c r="F2" s="27"/>
      <c r="G2" s="27"/>
      <c r="H2" s="27"/>
      <c r="I2" s="27"/>
      <c r="J2" s="27"/>
      <c r="K2" s="27"/>
      <c r="L2" s="27"/>
      <c r="M2" s="27"/>
      <c r="N2" s="27"/>
      <c r="O2" s="27"/>
      <c r="P2" s="27"/>
      <c r="Q2" s="31"/>
    </row>
    <row r="3" spans="1:23" x14ac:dyDescent="0.25">
      <c r="A3" s="8" t="s">
        <v>13</v>
      </c>
      <c r="B3" s="27"/>
      <c r="C3" s="27"/>
      <c r="D3" s="27"/>
      <c r="E3" s="27"/>
      <c r="F3" s="27"/>
      <c r="G3" s="27"/>
      <c r="H3" s="27"/>
      <c r="I3" s="27"/>
      <c r="J3" s="27"/>
      <c r="K3" s="27"/>
      <c r="L3" s="27"/>
      <c r="M3" s="27"/>
      <c r="N3" s="27"/>
      <c r="O3" s="27"/>
      <c r="P3" s="27"/>
      <c r="Q3" s="31"/>
      <c r="S3" s="1" t="s">
        <v>972</v>
      </c>
    </row>
    <row r="4" spans="1:23" x14ac:dyDescent="0.25">
      <c r="A4" s="9">
        <f>INDEX('Point Grid'!B:B,MATCH($A$1,'Point Grid'!A:A,0))</f>
        <v>3</v>
      </c>
      <c r="B4" s="27"/>
      <c r="C4" s="27"/>
      <c r="D4" s="27"/>
      <c r="E4" s="27"/>
      <c r="F4" s="27"/>
      <c r="G4" s="27"/>
      <c r="H4" s="27"/>
      <c r="I4" s="27"/>
      <c r="J4" s="27"/>
      <c r="K4" s="27"/>
      <c r="L4" s="27"/>
      <c r="M4" s="27"/>
      <c r="N4" s="27"/>
      <c r="O4" s="27"/>
      <c r="P4" s="27"/>
      <c r="Q4" s="31"/>
    </row>
    <row r="5" spans="1:23" x14ac:dyDescent="0.25">
      <c r="A5" s="30"/>
      <c r="B5" s="27"/>
      <c r="C5" s="27"/>
      <c r="D5" s="27"/>
      <c r="E5" s="27"/>
      <c r="F5" s="27"/>
      <c r="G5" s="27"/>
      <c r="H5" s="27"/>
      <c r="I5" s="27"/>
      <c r="J5" s="27"/>
      <c r="K5" s="27"/>
      <c r="L5" s="27"/>
      <c r="M5" s="27"/>
      <c r="N5" s="27"/>
      <c r="O5" s="27"/>
      <c r="P5" s="27"/>
      <c r="Q5" s="31"/>
      <c r="S5" t="s">
        <v>973</v>
      </c>
    </row>
    <row r="6" spans="1:23" x14ac:dyDescent="0.25">
      <c r="A6" s="27" t="s">
        <v>953</v>
      </c>
      <c r="B6" s="52"/>
      <c r="C6" s="52"/>
      <c r="D6" s="52"/>
      <c r="E6" s="52"/>
      <c r="F6" s="52"/>
      <c r="G6" s="52"/>
      <c r="H6" s="52"/>
      <c r="I6" s="52"/>
      <c r="J6" s="52"/>
      <c r="K6" s="52"/>
      <c r="L6" s="52"/>
      <c r="M6" s="52"/>
      <c r="N6" s="52"/>
      <c r="O6" s="27"/>
      <c r="P6" s="352"/>
      <c r="Q6" s="31"/>
    </row>
    <row r="7" spans="1:23" x14ac:dyDescent="0.25">
      <c r="A7" s="27" t="s">
        <v>954</v>
      </c>
      <c r="B7" s="52"/>
      <c r="C7" s="52"/>
      <c r="D7" s="52"/>
      <c r="E7" s="52"/>
      <c r="F7" s="52"/>
      <c r="G7" s="52"/>
      <c r="H7" s="52"/>
      <c r="I7" s="52"/>
      <c r="J7" s="52"/>
      <c r="K7" s="52"/>
      <c r="L7" s="52"/>
      <c r="M7" s="52"/>
      <c r="N7" s="52"/>
      <c r="O7" s="27"/>
      <c r="P7" s="352"/>
      <c r="Q7" s="31"/>
      <c r="S7" t="s">
        <v>974</v>
      </c>
    </row>
    <row r="8" spans="1:23" x14ac:dyDescent="0.25">
      <c r="A8" s="27"/>
      <c r="B8" s="52"/>
      <c r="C8" s="52"/>
      <c r="D8" s="52"/>
      <c r="E8" s="52"/>
      <c r="F8" s="52"/>
      <c r="G8" s="52"/>
      <c r="H8" s="52"/>
      <c r="I8" s="52"/>
      <c r="J8" s="52"/>
      <c r="K8" s="52"/>
      <c r="L8" s="52"/>
      <c r="M8" s="52"/>
      <c r="N8" s="52"/>
      <c r="O8" s="52"/>
      <c r="P8" s="52"/>
      <c r="Q8" s="31"/>
      <c r="S8" s="359"/>
    </row>
    <row r="9" spans="1:23" x14ac:dyDescent="0.25">
      <c r="A9" s="27" t="s">
        <v>955</v>
      </c>
      <c r="B9" s="27"/>
      <c r="C9" s="27"/>
      <c r="D9" s="27"/>
      <c r="E9" s="27"/>
      <c r="F9" s="27"/>
      <c r="G9" s="27"/>
      <c r="H9" s="27"/>
      <c r="I9" s="27"/>
      <c r="J9" s="27"/>
      <c r="K9" s="27"/>
      <c r="L9" s="27"/>
      <c r="M9" s="27"/>
      <c r="N9" s="27"/>
      <c r="O9" s="27"/>
      <c r="P9" s="52"/>
      <c r="Q9" s="31"/>
      <c r="S9" s="359" t="s">
        <v>975</v>
      </c>
      <c r="T9">
        <f>C19/B19</f>
        <v>0.15</v>
      </c>
    </row>
    <row r="10" spans="1:23" x14ac:dyDescent="0.25">
      <c r="A10" s="36" t="s">
        <v>956</v>
      </c>
      <c r="B10" s="27"/>
      <c r="C10" s="27"/>
      <c r="D10" s="27"/>
      <c r="E10" s="27"/>
      <c r="F10" s="27"/>
      <c r="G10" s="27"/>
      <c r="H10" s="27"/>
      <c r="I10" s="27"/>
      <c r="J10" s="27"/>
      <c r="K10" s="27"/>
      <c r="L10" s="27"/>
      <c r="M10" s="27"/>
      <c r="N10" s="27"/>
      <c r="O10" s="27"/>
      <c r="P10" s="52"/>
      <c r="Q10" s="31"/>
      <c r="S10" s="359" t="s">
        <v>976</v>
      </c>
      <c r="T10">
        <f t="shared" ref="T10:T13" si="0">C20/B20</f>
        <v>0.16666666666666666</v>
      </c>
    </row>
    <row r="11" spans="1:23" x14ac:dyDescent="0.25">
      <c r="A11" s="36" t="s">
        <v>957</v>
      </c>
      <c r="B11" s="27"/>
      <c r="C11" s="27"/>
      <c r="D11" s="27"/>
      <c r="E11" s="27"/>
      <c r="F11" s="27"/>
      <c r="G11" s="27"/>
      <c r="H11" s="27"/>
      <c r="I11" s="27"/>
      <c r="J11" s="27"/>
      <c r="K11" s="27"/>
      <c r="L11" s="27"/>
      <c r="M11" s="27"/>
      <c r="N11" s="27"/>
      <c r="O11" s="27"/>
      <c r="P11" s="52"/>
      <c r="Q11" s="31"/>
      <c r="S11" s="359" t="s">
        <v>977</v>
      </c>
      <c r="T11">
        <f t="shared" si="0"/>
        <v>0.17499999999999999</v>
      </c>
    </row>
    <row r="12" spans="1:23" x14ac:dyDescent="0.25">
      <c r="A12" s="36" t="s">
        <v>958</v>
      </c>
      <c r="B12" s="27"/>
      <c r="C12" s="27"/>
      <c r="D12" s="27"/>
      <c r="E12" s="27"/>
      <c r="F12" s="27"/>
      <c r="G12" s="27"/>
      <c r="H12" s="27"/>
      <c r="I12" s="27"/>
      <c r="J12" s="27"/>
      <c r="K12" s="27"/>
      <c r="L12" s="27"/>
      <c r="M12" s="27"/>
      <c r="N12" s="27"/>
      <c r="O12" s="27"/>
      <c r="P12" s="52"/>
      <c r="Q12" s="31"/>
      <c r="S12" s="359" t="s">
        <v>978</v>
      </c>
      <c r="T12">
        <f t="shared" si="0"/>
        <v>0.25</v>
      </c>
    </row>
    <row r="13" spans="1:23" x14ac:dyDescent="0.25">
      <c r="A13" s="36" t="s">
        <v>959</v>
      </c>
      <c r="B13" s="27"/>
      <c r="C13" s="27"/>
      <c r="D13" s="27"/>
      <c r="E13" s="27"/>
      <c r="F13" s="27"/>
      <c r="G13" s="27"/>
      <c r="H13" s="27"/>
      <c r="I13" s="27"/>
      <c r="J13" s="27"/>
      <c r="K13" s="27"/>
      <c r="L13" s="27"/>
      <c r="M13" s="27"/>
      <c r="N13" s="27"/>
      <c r="O13" s="27"/>
      <c r="P13" s="52"/>
      <c r="Q13" s="31"/>
      <c r="S13" s="359" t="s">
        <v>979</v>
      </c>
      <c r="T13">
        <f t="shared" si="0"/>
        <v>0.5</v>
      </c>
    </row>
    <row r="14" spans="1:23" x14ac:dyDescent="0.25">
      <c r="A14" s="36" t="s">
        <v>960</v>
      </c>
      <c r="B14" s="27"/>
      <c r="C14" s="27"/>
      <c r="D14" s="27"/>
      <c r="E14" s="27"/>
      <c r="F14" s="27"/>
      <c r="G14" s="27"/>
      <c r="H14" s="27"/>
      <c r="I14" s="27"/>
      <c r="J14" s="27"/>
      <c r="K14" s="27"/>
      <c r="L14" s="27"/>
      <c r="M14" s="27"/>
      <c r="N14" s="27"/>
      <c r="O14" s="27"/>
      <c r="P14" s="52"/>
      <c r="Q14" s="31"/>
      <c r="S14" s="359"/>
    </row>
    <row r="15" spans="1:23" x14ac:dyDescent="0.25">
      <c r="A15" s="36"/>
      <c r="B15" s="27"/>
      <c r="C15" s="27"/>
      <c r="D15" s="27"/>
      <c r="E15" s="27"/>
      <c r="F15" s="27"/>
      <c r="G15" s="27"/>
      <c r="H15" s="27"/>
      <c r="I15" s="27"/>
      <c r="J15" s="27"/>
      <c r="K15" s="27"/>
      <c r="L15" s="27"/>
      <c r="M15" s="27"/>
      <c r="N15" s="27"/>
      <c r="O15" s="27"/>
      <c r="P15" s="52"/>
      <c r="Q15" s="31"/>
      <c r="S15" t="s">
        <v>980</v>
      </c>
    </row>
    <row r="16" spans="1:23" x14ac:dyDescent="0.25">
      <c r="A16" s="283" t="s">
        <v>961</v>
      </c>
      <c r="B16" s="27"/>
      <c r="C16" s="27"/>
      <c r="D16" s="27"/>
      <c r="E16" s="27"/>
      <c r="F16" s="27"/>
      <c r="G16" s="27"/>
      <c r="H16" s="27"/>
      <c r="I16" s="27"/>
      <c r="J16" s="27"/>
      <c r="K16" s="27"/>
      <c r="L16" s="27"/>
      <c r="M16" s="27"/>
      <c r="N16" s="27"/>
      <c r="O16" s="27"/>
      <c r="P16" s="52"/>
      <c r="Q16" s="31"/>
    </row>
    <row r="17" spans="1:19" x14ac:dyDescent="0.25">
      <c r="A17" s="36"/>
      <c r="B17" s="27"/>
      <c r="C17" s="27"/>
      <c r="D17" s="27"/>
      <c r="E17" s="27"/>
      <c r="F17" s="27"/>
      <c r="G17" s="27"/>
      <c r="H17" s="27"/>
      <c r="I17" s="27"/>
      <c r="J17" s="27"/>
      <c r="K17" s="27"/>
      <c r="L17" s="27"/>
      <c r="M17" s="27"/>
      <c r="N17" s="27"/>
      <c r="O17" s="27"/>
      <c r="P17" s="52"/>
      <c r="Q17" s="31"/>
      <c r="S17" s="1" t="s">
        <v>981</v>
      </c>
    </row>
    <row r="18" spans="1:19" ht="53.25" customHeight="1" x14ac:dyDescent="0.25">
      <c r="A18" s="381" t="s">
        <v>962</v>
      </c>
      <c r="B18" s="382" t="s">
        <v>963</v>
      </c>
      <c r="C18" s="382" t="s">
        <v>964</v>
      </c>
      <c r="D18" s="27"/>
      <c r="E18" s="27"/>
      <c r="F18" s="27"/>
      <c r="G18" s="27"/>
      <c r="H18" s="27"/>
      <c r="I18" s="27"/>
      <c r="J18" s="27"/>
      <c r="K18" s="27"/>
      <c r="L18" s="27"/>
      <c r="M18" s="27"/>
      <c r="N18" s="27"/>
      <c r="O18" s="27"/>
      <c r="P18" s="52"/>
      <c r="Q18" s="31"/>
    </row>
    <row r="19" spans="1:19" x14ac:dyDescent="0.25">
      <c r="A19" s="36" t="s">
        <v>965</v>
      </c>
      <c r="B19" s="52">
        <v>450</v>
      </c>
      <c r="C19" s="27">
        <v>67.5</v>
      </c>
      <c r="D19" s="27"/>
      <c r="E19" s="27"/>
      <c r="F19" s="27"/>
      <c r="G19" s="27"/>
      <c r="H19" s="27"/>
      <c r="I19" s="27"/>
      <c r="J19" s="27"/>
      <c r="K19" s="27"/>
      <c r="L19" s="27"/>
      <c r="M19" s="27"/>
      <c r="N19" s="27"/>
      <c r="O19" s="27"/>
      <c r="P19" s="52"/>
      <c r="Q19" s="31"/>
      <c r="S19" s="1" t="s">
        <v>982</v>
      </c>
    </row>
    <row r="20" spans="1:19" x14ac:dyDescent="0.25">
      <c r="A20" s="36">
        <v>1</v>
      </c>
      <c r="B20" s="52">
        <v>315</v>
      </c>
      <c r="C20" s="27">
        <v>52.5</v>
      </c>
      <c r="D20" s="27"/>
      <c r="E20" s="27"/>
      <c r="F20" s="27"/>
      <c r="G20" s="27"/>
      <c r="H20" s="27"/>
      <c r="I20" s="27"/>
      <c r="J20" s="27"/>
      <c r="K20" s="27"/>
      <c r="L20" s="27"/>
      <c r="M20" s="27"/>
      <c r="N20" s="27"/>
      <c r="O20" s="27"/>
      <c r="P20" s="52"/>
      <c r="Q20" s="31"/>
    </row>
    <row r="21" spans="1:19" x14ac:dyDescent="0.25">
      <c r="A21" s="36">
        <v>2</v>
      </c>
      <c r="B21" s="52">
        <v>180</v>
      </c>
      <c r="C21" s="27">
        <v>31.5</v>
      </c>
      <c r="D21" s="27"/>
      <c r="E21" s="27"/>
      <c r="F21" s="27"/>
      <c r="G21" s="27"/>
      <c r="H21" s="27"/>
      <c r="I21" s="27"/>
      <c r="J21" s="27"/>
      <c r="K21" s="27"/>
      <c r="L21" s="27"/>
      <c r="M21" s="27"/>
      <c r="N21" s="27"/>
      <c r="O21" s="27"/>
      <c r="P21" s="52"/>
      <c r="Q21" s="31"/>
      <c r="S21" t="s">
        <v>983</v>
      </c>
    </row>
    <row r="22" spans="1:19" x14ac:dyDescent="0.25">
      <c r="A22" s="36">
        <v>3</v>
      </c>
      <c r="B22" s="52">
        <v>72</v>
      </c>
      <c r="C22" s="27">
        <v>18</v>
      </c>
      <c r="D22" s="27"/>
      <c r="E22" s="27"/>
      <c r="F22" s="27"/>
      <c r="G22" s="27"/>
      <c r="H22" s="27"/>
      <c r="I22" s="27"/>
      <c r="J22" s="27"/>
      <c r="K22" s="27"/>
      <c r="L22" s="27"/>
      <c r="M22" s="27"/>
      <c r="N22" s="27"/>
      <c r="O22" s="27"/>
      <c r="P22" s="52"/>
      <c r="Q22" s="31"/>
    </row>
    <row r="23" spans="1:19" x14ac:dyDescent="0.25">
      <c r="A23" s="36">
        <v>4</v>
      </c>
      <c r="B23" s="52">
        <v>18</v>
      </c>
      <c r="C23" s="27">
        <v>9</v>
      </c>
      <c r="D23" s="27"/>
      <c r="E23" s="27"/>
      <c r="F23" s="27"/>
      <c r="G23" s="27"/>
      <c r="H23" s="27"/>
      <c r="I23" s="27"/>
      <c r="J23" s="27"/>
      <c r="K23" s="27"/>
      <c r="L23" s="27"/>
      <c r="M23" s="27"/>
      <c r="N23" s="27"/>
      <c r="O23" s="27"/>
      <c r="P23" s="52"/>
      <c r="Q23" s="31"/>
      <c r="S23" t="s">
        <v>984</v>
      </c>
    </row>
    <row r="24" spans="1:19" x14ac:dyDescent="0.25">
      <c r="A24" s="36">
        <v>5</v>
      </c>
      <c r="B24" s="52">
        <v>0</v>
      </c>
      <c r="C24" s="27">
        <v>0</v>
      </c>
      <c r="D24" s="27"/>
      <c r="E24" s="27"/>
      <c r="F24" s="27"/>
      <c r="G24" s="27"/>
      <c r="H24" s="27"/>
      <c r="I24" s="27"/>
      <c r="J24" s="27"/>
      <c r="K24" s="27"/>
      <c r="L24" s="27"/>
      <c r="M24" s="27"/>
      <c r="N24" s="27"/>
      <c r="O24" s="27"/>
      <c r="P24" s="52"/>
      <c r="Q24" s="31"/>
      <c r="S24" s="359"/>
    </row>
    <row r="25" spans="1:19" x14ac:dyDescent="0.25">
      <c r="A25" s="36"/>
      <c r="B25" s="367"/>
      <c r="C25" s="27"/>
      <c r="D25" s="27"/>
      <c r="E25" s="27"/>
      <c r="F25" s="27"/>
      <c r="G25" s="27"/>
      <c r="H25" s="27"/>
      <c r="I25" s="27"/>
      <c r="J25" s="27"/>
      <c r="K25" s="27"/>
      <c r="L25" s="27"/>
      <c r="M25" s="27"/>
      <c r="N25" s="27"/>
      <c r="O25" s="27"/>
      <c r="P25" s="52"/>
      <c r="Q25" s="31"/>
      <c r="S25" t="s">
        <v>985</v>
      </c>
    </row>
    <row r="26" spans="1:19" x14ac:dyDescent="0.25">
      <c r="A26" s="36" t="s">
        <v>966</v>
      </c>
      <c r="B26" s="367"/>
      <c r="C26" s="27"/>
      <c r="D26" s="27"/>
      <c r="E26" s="27"/>
      <c r="F26" s="27"/>
      <c r="G26" s="27"/>
      <c r="H26" s="27"/>
      <c r="I26" s="27"/>
      <c r="J26" s="27"/>
      <c r="K26" s="27"/>
      <c r="L26" s="27"/>
      <c r="M26" s="27"/>
      <c r="N26" s="27"/>
      <c r="O26" s="27"/>
      <c r="P26" s="52"/>
      <c r="Q26" s="31"/>
      <c r="S26" t="s">
        <v>986</v>
      </c>
    </row>
    <row r="27" spans="1:19" x14ac:dyDescent="0.25">
      <c r="A27" s="36"/>
      <c r="B27" s="27"/>
      <c r="C27" s="27"/>
      <c r="D27" s="27"/>
      <c r="E27" s="27"/>
      <c r="F27" s="27"/>
      <c r="G27" s="27"/>
      <c r="H27" s="27"/>
      <c r="I27" s="27"/>
      <c r="J27" s="27"/>
      <c r="K27" s="27"/>
      <c r="L27" s="27"/>
      <c r="M27" s="27"/>
      <c r="N27" s="27"/>
      <c r="O27" s="27"/>
      <c r="P27" s="52"/>
      <c r="Q27" s="31"/>
      <c r="S27" t="s">
        <v>987</v>
      </c>
    </row>
    <row r="28" spans="1:19" x14ac:dyDescent="0.25">
      <c r="A28" s="36" t="s">
        <v>914</v>
      </c>
      <c r="B28" s="27" t="s">
        <v>967</v>
      </c>
      <c r="C28" s="27"/>
      <c r="D28" s="27"/>
      <c r="E28" s="27"/>
      <c r="F28" s="27"/>
      <c r="G28" s="27"/>
      <c r="H28" s="27"/>
      <c r="I28" s="27"/>
      <c r="J28" s="27"/>
      <c r="K28" s="27"/>
      <c r="L28" s="27"/>
      <c r="M28" s="27"/>
      <c r="N28" s="27"/>
      <c r="O28" s="27"/>
      <c r="P28" s="52"/>
      <c r="Q28" s="31"/>
    </row>
    <row r="29" spans="1:19" x14ac:dyDescent="0.25">
      <c r="A29" s="36">
        <v>1</v>
      </c>
      <c r="B29" s="367">
        <v>2.5000000000000001E-2</v>
      </c>
      <c r="C29" s="27"/>
      <c r="D29" s="27"/>
      <c r="E29" s="367"/>
      <c r="F29" s="27"/>
      <c r="G29" s="27"/>
      <c r="H29" s="27"/>
      <c r="I29" s="27"/>
      <c r="J29" s="27"/>
      <c r="K29" s="27"/>
      <c r="L29" s="27"/>
      <c r="M29" s="27"/>
      <c r="N29" s="27"/>
      <c r="O29" s="27"/>
      <c r="P29" s="52"/>
      <c r="Q29" s="31"/>
      <c r="S29" t="s">
        <v>988</v>
      </c>
    </row>
    <row r="30" spans="1:19" x14ac:dyDescent="0.25">
      <c r="A30" s="36">
        <v>2</v>
      </c>
      <c r="B30" s="367">
        <v>2.75E-2</v>
      </c>
      <c r="C30" s="27"/>
      <c r="D30" s="27"/>
      <c r="E30" s="367"/>
      <c r="F30" s="27"/>
      <c r="G30" s="27"/>
      <c r="H30" s="27"/>
      <c r="I30" s="27"/>
      <c r="J30" s="27"/>
      <c r="K30" s="27"/>
      <c r="L30" s="27"/>
      <c r="M30" s="27"/>
      <c r="N30" s="27"/>
      <c r="O30" s="27"/>
      <c r="P30" s="52"/>
      <c r="Q30" s="31"/>
    </row>
    <row r="31" spans="1:19" x14ac:dyDescent="0.25">
      <c r="A31" s="36">
        <v>3</v>
      </c>
      <c r="B31" s="367">
        <v>0.03</v>
      </c>
      <c r="C31" s="27"/>
      <c r="D31" s="27"/>
      <c r="E31" s="379"/>
      <c r="F31" s="27"/>
      <c r="G31" s="27"/>
      <c r="H31" s="27"/>
      <c r="I31" s="27"/>
      <c r="J31" s="27"/>
      <c r="K31" s="27"/>
      <c r="L31" s="27"/>
      <c r="M31" s="27"/>
      <c r="N31" s="27"/>
      <c r="O31" s="27"/>
      <c r="P31" s="52"/>
      <c r="Q31" s="31"/>
      <c r="S31" s="1" t="s">
        <v>989</v>
      </c>
    </row>
    <row r="32" spans="1:19" x14ac:dyDescent="0.25">
      <c r="A32" s="36">
        <v>4</v>
      </c>
      <c r="B32" s="367">
        <v>3.2500000000000001E-2</v>
      </c>
      <c r="C32" s="27"/>
      <c r="D32" s="27"/>
      <c r="E32" s="367"/>
      <c r="F32" s="27"/>
      <c r="G32" s="27"/>
      <c r="H32" s="27"/>
      <c r="I32" s="27"/>
      <c r="J32" s="27"/>
      <c r="K32" s="27"/>
      <c r="L32" s="27"/>
      <c r="M32" s="27"/>
      <c r="N32" s="27"/>
      <c r="O32" s="27"/>
      <c r="P32" s="52"/>
      <c r="Q32" s="31"/>
    </row>
    <row r="33" spans="1:37" ht="30" x14ac:dyDescent="0.25">
      <c r="A33" s="36">
        <v>5</v>
      </c>
      <c r="B33" s="367">
        <v>3.5000000000000003E-2</v>
      </c>
      <c r="C33" s="27"/>
      <c r="D33" s="27"/>
      <c r="E33" s="367"/>
      <c r="F33" s="27"/>
      <c r="G33" s="27"/>
      <c r="H33" s="27"/>
      <c r="I33" s="27"/>
      <c r="J33" s="27"/>
      <c r="K33" s="27"/>
      <c r="L33" s="27"/>
      <c r="M33" s="27"/>
      <c r="N33" s="27"/>
      <c r="O33" s="27"/>
      <c r="P33" s="52"/>
      <c r="Q33" s="31"/>
      <c r="S33" s="360" t="s">
        <v>914</v>
      </c>
      <c r="T33" s="360" t="s">
        <v>990</v>
      </c>
      <c r="U33" s="360" t="s">
        <v>991</v>
      </c>
      <c r="V33" s="360" t="s">
        <v>992</v>
      </c>
      <c r="W33" s="360" t="s">
        <v>993</v>
      </c>
      <c r="X33" s="360" t="s">
        <v>994</v>
      </c>
      <c r="Y33" s="360" t="s">
        <v>995</v>
      </c>
    </row>
    <row r="34" spans="1:37" x14ac:dyDescent="0.25">
      <c r="A34" s="36"/>
      <c r="B34" s="27"/>
      <c r="C34" s="27"/>
      <c r="D34" s="27"/>
      <c r="E34" s="367"/>
      <c r="F34" s="27"/>
      <c r="G34" s="27"/>
      <c r="H34" s="27"/>
      <c r="I34" s="27"/>
      <c r="J34" s="27"/>
      <c r="K34" s="27"/>
      <c r="L34" s="27"/>
      <c r="M34" s="27"/>
      <c r="N34" s="27"/>
      <c r="O34" s="27"/>
      <c r="P34" s="52"/>
      <c r="Q34" s="31"/>
      <c r="S34" s="361">
        <v>0</v>
      </c>
      <c r="T34" s="363">
        <f>B19</f>
        <v>450</v>
      </c>
      <c r="U34" s="370">
        <f>T9</f>
        <v>0.15</v>
      </c>
      <c r="V34" s="361">
        <f>LN(1+U34^2)</f>
        <v>2.2250608934819723E-2</v>
      </c>
      <c r="W34" s="361">
        <f>LN(T34)-0.5*V34</f>
        <v>6.0981222782969553</v>
      </c>
      <c r="X34" s="361">
        <f>EXP(W34 + 2.576*SQRT(V34))</f>
        <v>653.52113467600418</v>
      </c>
      <c r="Y34" s="361">
        <f>X34-T34</f>
        <v>203.52113467600418</v>
      </c>
    </row>
    <row r="35" spans="1:37" x14ac:dyDescent="0.25">
      <c r="A35" s="36" t="s">
        <v>910</v>
      </c>
      <c r="B35" s="27"/>
      <c r="C35" s="27"/>
      <c r="D35" s="27"/>
      <c r="E35" s="27"/>
      <c r="F35" s="27"/>
      <c r="G35" s="27"/>
      <c r="H35" s="27"/>
      <c r="I35" s="27"/>
      <c r="J35" s="27"/>
      <c r="K35" s="27"/>
      <c r="L35" s="27"/>
      <c r="M35" s="27"/>
      <c r="N35" s="27"/>
      <c r="O35" s="27"/>
      <c r="P35" s="52"/>
      <c r="Q35" s="31"/>
      <c r="S35" s="361">
        <v>1</v>
      </c>
      <c r="T35" s="363">
        <f t="shared" ref="T35:T38" si="1">B20</f>
        <v>315</v>
      </c>
      <c r="U35" s="370">
        <f t="shared" ref="U35:U38" si="2">T10</f>
        <v>0.16666666666666666</v>
      </c>
      <c r="V35" s="361">
        <f t="shared" ref="V35:V38" si="3">LN(1+U35^2)</f>
        <v>2.7398974188114347E-2</v>
      </c>
      <c r="W35" s="361">
        <f t="shared" ref="W35:W38" si="4">LN(T35)-0.5*V35</f>
        <v>5.7388731517315756</v>
      </c>
      <c r="X35" s="361">
        <f t="shared" ref="X35:X38" si="5">EXP(W35 + 2.576*SQRT(V35))</f>
        <v>475.92917070632325</v>
      </c>
      <c r="Y35" s="361">
        <f t="shared" ref="Y35:Y38" si="6">X35-T35</f>
        <v>160.92917070632325</v>
      </c>
    </row>
    <row r="36" spans="1:37" x14ac:dyDescent="0.25">
      <c r="A36" s="283"/>
      <c r="B36" s="27"/>
      <c r="C36" s="27"/>
      <c r="D36" s="27"/>
      <c r="E36" s="27"/>
      <c r="F36" s="27"/>
      <c r="G36" s="27"/>
      <c r="H36" s="27"/>
      <c r="I36" s="27"/>
      <c r="J36" s="27"/>
      <c r="K36" s="27"/>
      <c r="L36" s="27"/>
      <c r="M36" s="27"/>
      <c r="N36" s="27"/>
      <c r="O36" s="27"/>
      <c r="P36" s="52"/>
      <c r="Q36" s="31"/>
      <c r="S36" s="361">
        <v>2</v>
      </c>
      <c r="T36" s="363">
        <f t="shared" si="1"/>
        <v>180</v>
      </c>
      <c r="U36" s="370">
        <f t="shared" si="2"/>
        <v>0.17499999999999999</v>
      </c>
      <c r="V36" s="361">
        <f t="shared" si="3"/>
        <v>3.0165414331726204E-2</v>
      </c>
      <c r="W36" s="361">
        <f t="shared" si="4"/>
        <v>5.1778741437243472</v>
      </c>
      <c r="X36" s="361">
        <f t="shared" si="5"/>
        <v>277.34960067146454</v>
      </c>
      <c r="Y36" s="361">
        <f t="shared" si="6"/>
        <v>97.349600671464543</v>
      </c>
    </row>
    <row r="37" spans="1:37" x14ac:dyDescent="0.25">
      <c r="A37" s="36" t="s">
        <v>968</v>
      </c>
      <c r="B37" s="27"/>
      <c r="C37" s="27"/>
      <c r="D37" s="27"/>
      <c r="E37" s="27"/>
      <c r="F37" s="27"/>
      <c r="G37" s="27"/>
      <c r="H37" s="27"/>
      <c r="I37" s="27"/>
      <c r="J37" s="27"/>
      <c r="K37" s="27"/>
      <c r="L37" s="27"/>
      <c r="M37" s="27"/>
      <c r="N37" s="27"/>
      <c r="O37" s="27"/>
      <c r="P37" s="52"/>
      <c r="Q37" s="31"/>
      <c r="S37" s="361">
        <v>3</v>
      </c>
      <c r="T37" s="363">
        <f t="shared" si="1"/>
        <v>72</v>
      </c>
      <c r="U37" s="370">
        <f t="shared" si="2"/>
        <v>0.25</v>
      </c>
      <c r="V37" s="361">
        <f t="shared" si="3"/>
        <v>6.062462181643484E-2</v>
      </c>
      <c r="W37" s="361">
        <f t="shared" si="4"/>
        <v>4.2463538081078376</v>
      </c>
      <c r="X37" s="361">
        <f t="shared" si="5"/>
        <v>131.71207263479801</v>
      </c>
      <c r="Y37" s="361">
        <f t="shared" si="6"/>
        <v>59.712072634798005</v>
      </c>
    </row>
    <row r="38" spans="1:37" x14ac:dyDescent="0.25">
      <c r="A38" s="36" t="s">
        <v>969</v>
      </c>
      <c r="B38" s="375"/>
      <c r="C38" s="375"/>
      <c r="D38" s="375"/>
      <c r="E38" s="375"/>
      <c r="F38" s="375"/>
      <c r="G38" s="375"/>
      <c r="H38" s="27"/>
      <c r="I38" s="27"/>
      <c r="J38" s="27"/>
      <c r="K38" s="27"/>
      <c r="L38" s="27"/>
      <c r="M38" s="27"/>
      <c r="N38" s="27"/>
      <c r="O38" s="27"/>
      <c r="P38" s="52"/>
      <c r="Q38" s="31"/>
      <c r="S38" s="361">
        <v>4</v>
      </c>
      <c r="T38" s="363">
        <f t="shared" si="1"/>
        <v>18</v>
      </c>
      <c r="U38" s="370">
        <f t="shared" si="2"/>
        <v>0.5</v>
      </c>
      <c r="V38" s="361">
        <f t="shared" si="3"/>
        <v>0.22314355131420976</v>
      </c>
      <c r="W38" s="361">
        <f t="shared" si="4"/>
        <v>2.7787999822390597</v>
      </c>
      <c r="X38" s="361">
        <f t="shared" si="5"/>
        <v>54.361312587383829</v>
      </c>
      <c r="Y38" s="361">
        <f t="shared" si="6"/>
        <v>36.361312587383829</v>
      </c>
    </row>
    <row r="39" spans="1:37" x14ac:dyDescent="0.25">
      <c r="A39" s="36" t="s">
        <v>970</v>
      </c>
      <c r="B39" s="377"/>
      <c r="C39" s="377"/>
      <c r="D39" s="377"/>
      <c r="E39" s="377"/>
      <c r="F39" s="377"/>
      <c r="G39" s="377"/>
      <c r="H39" s="27"/>
      <c r="I39" s="27"/>
      <c r="J39" s="27"/>
      <c r="K39" s="27"/>
      <c r="L39" s="27"/>
      <c r="M39" s="27"/>
      <c r="N39" s="27"/>
      <c r="O39" s="27"/>
      <c r="P39" s="52"/>
      <c r="Q39" s="31"/>
      <c r="S39" s="361"/>
      <c r="T39" s="361"/>
      <c r="U39" s="361"/>
      <c r="V39" s="361"/>
      <c r="W39" s="361"/>
      <c r="X39" s="361"/>
      <c r="Y39" s="361"/>
    </row>
    <row r="40" spans="1:37" x14ac:dyDescent="0.25">
      <c r="A40" s="36" t="s">
        <v>971</v>
      </c>
      <c r="B40" s="377"/>
      <c r="C40" s="377"/>
      <c r="D40" s="377"/>
      <c r="E40" s="377"/>
      <c r="F40" s="377"/>
      <c r="G40" s="377"/>
      <c r="H40" s="27"/>
      <c r="I40" s="27"/>
      <c r="J40" s="27"/>
      <c r="K40" s="27"/>
      <c r="L40" s="27"/>
      <c r="M40" s="27"/>
      <c r="N40" s="27"/>
      <c r="O40" s="27"/>
      <c r="P40" s="52"/>
      <c r="Q40" s="31"/>
    </row>
    <row r="41" spans="1:37" x14ac:dyDescent="0.25">
      <c r="A41" s="36"/>
      <c r="B41" s="377"/>
      <c r="C41" s="377"/>
      <c r="D41" s="377"/>
      <c r="E41" s="377"/>
      <c r="F41" s="377"/>
      <c r="G41" s="377"/>
      <c r="H41" s="27"/>
      <c r="I41" s="27"/>
      <c r="J41" s="27"/>
      <c r="K41" s="27"/>
      <c r="L41" s="27"/>
      <c r="M41" s="27"/>
      <c r="N41" s="27"/>
      <c r="O41" s="27"/>
      <c r="P41" s="52"/>
      <c r="Q41" s="31"/>
      <c r="S41" s="1" t="s">
        <v>996</v>
      </c>
    </row>
    <row r="42" spans="1:37" x14ac:dyDescent="0.25">
      <c r="A42" s="35" t="s">
        <v>2</v>
      </c>
      <c r="B42" s="27" t="s">
        <v>1237</v>
      </c>
      <c r="C42" s="27"/>
      <c r="D42" s="27"/>
      <c r="E42" s="27"/>
      <c r="F42" s="27"/>
      <c r="G42" s="377"/>
      <c r="H42" s="27"/>
      <c r="I42" s="27"/>
      <c r="J42" s="27"/>
      <c r="K42" s="27"/>
      <c r="L42" s="27"/>
      <c r="M42" s="27"/>
      <c r="N42" s="27"/>
      <c r="O42" s="27"/>
      <c r="P42" s="52"/>
      <c r="Q42" s="31"/>
    </row>
    <row r="43" spans="1:37" ht="15.75" thickBot="1" x14ac:dyDescent="0.3">
      <c r="A43" s="9">
        <f>INDEX('Point Grid'!$C$8:$I$35,MATCH($A$1,'Point Grid'!$A$8:$A$35,0),MATCH(A42,'Point Grid'!$C$7:$I$7,0))</f>
        <v>0.75</v>
      </c>
      <c r="B43" s="27"/>
      <c r="C43" s="27"/>
      <c r="D43" s="27"/>
      <c r="E43" s="27"/>
      <c r="F43" s="27"/>
      <c r="G43" s="27"/>
      <c r="H43" s="27"/>
      <c r="I43" s="27"/>
      <c r="J43" s="27"/>
      <c r="K43" s="27"/>
      <c r="L43" s="27"/>
      <c r="M43" s="27"/>
      <c r="N43" s="27"/>
      <c r="O43" s="27"/>
      <c r="P43" s="52"/>
      <c r="Q43" s="31"/>
      <c r="S43" s="1" t="s">
        <v>997</v>
      </c>
      <c r="T43" s="1"/>
      <c r="U43" s="1"/>
      <c r="V43" s="1"/>
      <c r="W43" s="1"/>
      <c r="X43" s="1"/>
      <c r="Y43" s="1"/>
      <c r="Z43" s="1"/>
      <c r="AA43" s="1"/>
      <c r="AB43" s="1"/>
      <c r="AC43" s="1"/>
      <c r="AD43" s="1"/>
      <c r="AE43" s="1"/>
      <c r="AF43" s="1"/>
      <c r="AG43" s="1"/>
      <c r="AH43" s="1"/>
      <c r="AI43" s="1"/>
      <c r="AJ43" s="1"/>
      <c r="AK43" s="1"/>
    </row>
    <row r="44" spans="1:37" ht="15.75" thickBot="1" x14ac:dyDescent="0.3">
      <c r="A44" s="5"/>
      <c r="B44" s="27"/>
      <c r="C44" s="27"/>
      <c r="D44" s="27"/>
      <c r="E44" s="27"/>
      <c r="F44" s="27"/>
      <c r="G44" s="27"/>
      <c r="H44" s="27"/>
      <c r="I44" s="27"/>
      <c r="J44" s="27"/>
      <c r="K44" s="27"/>
      <c r="L44" s="27"/>
      <c r="M44" s="27"/>
      <c r="N44" s="27"/>
      <c r="O44" s="27"/>
      <c r="P44" s="52"/>
      <c r="Q44" s="31"/>
    </row>
    <row r="45" spans="1:37" x14ac:dyDescent="0.25">
      <c r="A45" s="36"/>
      <c r="B45" s="27"/>
      <c r="C45" s="27"/>
      <c r="D45" s="27"/>
      <c r="E45" s="27"/>
      <c r="F45" s="27"/>
      <c r="G45" s="27"/>
      <c r="H45" s="27"/>
      <c r="I45" s="27"/>
      <c r="J45" s="27"/>
      <c r="K45" s="27"/>
      <c r="L45" s="27"/>
      <c r="M45" s="27"/>
      <c r="N45" s="27"/>
      <c r="O45" s="27"/>
      <c r="P45" s="52"/>
      <c r="Q45" s="31"/>
      <c r="S45" t="s">
        <v>998</v>
      </c>
    </row>
    <row r="46" spans="1:37" x14ac:dyDescent="0.25">
      <c r="A46" s="35" t="s">
        <v>3</v>
      </c>
      <c r="B46" s="27" t="s">
        <v>1239</v>
      </c>
      <c r="C46" s="27"/>
      <c r="D46" s="27"/>
      <c r="E46" s="27"/>
      <c r="F46" s="27"/>
      <c r="G46" s="27"/>
      <c r="H46" s="27"/>
      <c r="I46" s="27"/>
      <c r="J46" s="27"/>
      <c r="K46" s="27"/>
      <c r="L46" s="27"/>
      <c r="M46" s="27"/>
      <c r="N46" s="27"/>
      <c r="O46" s="27"/>
      <c r="P46" s="52"/>
      <c r="Q46" s="31"/>
    </row>
    <row r="47" spans="1:37" ht="15.75" thickBot="1" x14ac:dyDescent="0.3">
      <c r="A47" s="9">
        <f>INDEX('Point Grid'!$C$8:$I$35,MATCH($A$1,'Point Grid'!$A$8:$A$35,0),MATCH(A46,'Point Grid'!$C$7:$I$7,0))</f>
        <v>1</v>
      </c>
      <c r="B47" s="27"/>
      <c r="C47" s="27"/>
      <c r="D47" s="27"/>
      <c r="E47" s="27"/>
      <c r="F47" s="27"/>
      <c r="G47" s="27"/>
      <c r="H47" s="27"/>
      <c r="I47" s="27"/>
      <c r="J47" s="27"/>
      <c r="K47" s="27"/>
      <c r="L47" s="27"/>
      <c r="M47" s="27"/>
      <c r="N47" s="27"/>
      <c r="O47" s="27"/>
      <c r="P47" s="52"/>
      <c r="Q47" s="31"/>
      <c r="S47" t="s">
        <v>999</v>
      </c>
    </row>
    <row r="48" spans="1:37" ht="15.75" thickBot="1" x14ac:dyDescent="0.3">
      <c r="A48" s="5"/>
      <c r="B48" s="27"/>
      <c r="C48" s="27"/>
      <c r="D48" s="27"/>
      <c r="E48" s="27"/>
      <c r="F48" s="27"/>
      <c r="G48" s="27"/>
      <c r="H48" s="27"/>
      <c r="I48" s="27"/>
      <c r="J48" s="27"/>
      <c r="K48" s="27"/>
      <c r="L48" s="27"/>
      <c r="M48" s="27"/>
      <c r="N48" s="27"/>
      <c r="O48" s="27"/>
      <c r="P48" s="52"/>
      <c r="Q48" s="31"/>
      <c r="S48" s="359"/>
    </row>
    <row r="49" spans="1:37" x14ac:dyDescent="0.25">
      <c r="A49" s="36"/>
      <c r="B49" s="27"/>
      <c r="C49" s="27"/>
      <c r="D49" s="27"/>
      <c r="E49" s="27"/>
      <c r="F49" s="27"/>
      <c r="G49" s="27"/>
      <c r="H49" s="27"/>
      <c r="I49" s="27"/>
      <c r="J49" s="27"/>
      <c r="K49" s="27"/>
      <c r="L49" s="27"/>
      <c r="M49" s="27"/>
      <c r="N49" s="27"/>
      <c r="O49" s="27"/>
      <c r="P49" s="52"/>
      <c r="Q49" s="31"/>
      <c r="S49" t="s">
        <v>1000</v>
      </c>
      <c r="U49" s="355">
        <v>0.08</v>
      </c>
    </row>
    <row r="50" spans="1:37" x14ac:dyDescent="0.25">
      <c r="A50" s="35" t="s">
        <v>4</v>
      </c>
      <c r="B50" s="27" t="s">
        <v>1238</v>
      </c>
      <c r="C50" s="27"/>
      <c r="D50" s="27"/>
      <c r="E50" s="27"/>
      <c r="F50" s="27"/>
      <c r="G50" s="27"/>
      <c r="H50" s="27"/>
      <c r="I50" s="27"/>
      <c r="J50" s="27"/>
      <c r="K50" s="27"/>
      <c r="L50" s="27"/>
      <c r="M50" s="27"/>
      <c r="N50" s="27"/>
      <c r="O50" s="27"/>
      <c r="P50" s="52"/>
      <c r="Q50" s="31"/>
      <c r="S50" t="s">
        <v>1001</v>
      </c>
      <c r="U50" s="355">
        <v>3.5000000000000003E-2</v>
      </c>
    </row>
    <row r="51" spans="1:37" ht="15.75" thickBot="1" x14ac:dyDescent="0.3">
      <c r="A51" s="9">
        <f>INDEX('Point Grid'!$C$8:$I$35,MATCH($A$1,'Point Grid'!$A$8:$A$35,0),MATCH(A50,'Point Grid'!$C$7:$I$7,0))</f>
        <v>0.75</v>
      </c>
      <c r="B51" s="27"/>
      <c r="C51" s="27"/>
      <c r="D51" s="27"/>
      <c r="E51" s="27"/>
      <c r="F51" s="27"/>
      <c r="G51" s="27"/>
      <c r="H51" s="27"/>
      <c r="I51" s="27"/>
      <c r="J51" s="27"/>
      <c r="K51" s="27"/>
      <c r="L51" s="27"/>
      <c r="M51" s="27"/>
      <c r="N51" s="27"/>
      <c r="O51" s="27"/>
      <c r="P51" s="52"/>
      <c r="Q51" s="31"/>
      <c r="S51" t="s">
        <v>1002</v>
      </c>
      <c r="U51" s="355">
        <v>0.25</v>
      </c>
    </row>
    <row r="52" spans="1:37" ht="15.75" thickBot="1" x14ac:dyDescent="0.3">
      <c r="A52" s="5"/>
      <c r="B52" s="27"/>
      <c r="C52" s="27"/>
      <c r="D52" s="27"/>
      <c r="E52" s="27"/>
      <c r="F52" s="27"/>
      <c r="G52" s="27"/>
      <c r="H52" s="27"/>
      <c r="I52" s="27"/>
      <c r="J52" s="27"/>
      <c r="K52" s="27"/>
      <c r="L52" s="27"/>
      <c r="M52" s="27"/>
      <c r="N52" s="27"/>
      <c r="O52" s="27"/>
      <c r="P52" s="52"/>
      <c r="Q52" s="31"/>
      <c r="S52" t="s">
        <v>1003</v>
      </c>
      <c r="U52" s="355">
        <f xml:space="preserve"> U49/(1-U51) - U50</f>
        <v>7.166666666666667E-2</v>
      </c>
    </row>
    <row r="53" spans="1:37" x14ac:dyDescent="0.25">
      <c r="A53" s="27"/>
      <c r="B53" s="27"/>
      <c r="C53" s="27"/>
      <c r="D53" s="27"/>
      <c r="E53" s="27"/>
      <c r="F53" s="27"/>
      <c r="G53" s="27"/>
      <c r="H53" s="27"/>
      <c r="I53" s="27"/>
      <c r="J53" s="27"/>
      <c r="K53" s="27"/>
      <c r="L53" s="27"/>
      <c r="M53" s="27"/>
      <c r="N53" s="27"/>
      <c r="O53" s="27"/>
      <c r="P53" s="52"/>
      <c r="Q53" s="31"/>
    </row>
    <row r="54" spans="1:37" x14ac:dyDescent="0.25">
      <c r="A54" s="35" t="s">
        <v>5</v>
      </c>
      <c r="B54" s="27" t="s">
        <v>1240</v>
      </c>
      <c r="C54" s="27"/>
      <c r="D54" s="27"/>
      <c r="E54" s="27"/>
      <c r="F54" s="27"/>
      <c r="G54" s="27"/>
      <c r="H54" s="27"/>
      <c r="I54" s="27"/>
      <c r="J54" s="27"/>
      <c r="K54" s="27"/>
      <c r="L54" s="27"/>
      <c r="M54" s="27"/>
      <c r="N54" s="27"/>
      <c r="O54" s="27"/>
      <c r="P54" s="52"/>
      <c r="Q54" s="31"/>
      <c r="S54" s="1" t="s">
        <v>1004</v>
      </c>
    </row>
    <row r="55" spans="1:37" ht="15.75" thickBot="1" x14ac:dyDescent="0.3">
      <c r="A55" s="9">
        <f>INDEX('Point Grid'!$C$8:$I$35,MATCH($A$1,'Point Grid'!$A$8:$A$35,0),MATCH(A54,'Point Grid'!$C$7:$I$7,0))</f>
        <v>0.5</v>
      </c>
      <c r="B55" s="27"/>
      <c r="C55" s="27"/>
      <c r="D55" s="27"/>
      <c r="E55" s="27"/>
      <c r="F55" s="27"/>
      <c r="G55" s="27"/>
      <c r="H55" s="27"/>
      <c r="I55" s="27"/>
      <c r="J55" s="27"/>
      <c r="K55" s="27"/>
      <c r="L55" s="27"/>
      <c r="M55" s="27"/>
      <c r="N55" s="27"/>
      <c r="O55" s="27"/>
      <c r="P55" s="52"/>
      <c r="Q55" s="31"/>
      <c r="S55" s="359"/>
    </row>
    <row r="56" spans="1:37" ht="15.75" thickBot="1" x14ac:dyDescent="0.3">
      <c r="A56" s="5"/>
      <c r="B56" s="27"/>
      <c r="C56" s="27"/>
      <c r="D56" s="27"/>
      <c r="E56" s="27"/>
      <c r="F56" s="27"/>
      <c r="G56" s="27"/>
      <c r="H56" s="27"/>
      <c r="I56" s="27"/>
      <c r="J56" s="27"/>
      <c r="K56" s="27"/>
      <c r="L56" s="27"/>
      <c r="M56" s="27"/>
      <c r="N56" s="27"/>
      <c r="O56" s="27"/>
      <c r="P56" s="52"/>
      <c r="Q56" s="31"/>
      <c r="S56" t="s">
        <v>976</v>
      </c>
      <c r="T56">
        <f>Y34*$U$52</f>
        <v>14.585681318446968</v>
      </c>
    </row>
    <row r="57" spans="1:37" x14ac:dyDescent="0.25">
      <c r="A57" s="35"/>
      <c r="B57" s="27"/>
      <c r="C57" s="27"/>
      <c r="D57" s="27"/>
      <c r="E57" s="27"/>
      <c r="F57" s="27"/>
      <c r="G57" s="27"/>
      <c r="H57" s="27"/>
      <c r="I57" s="27"/>
      <c r="J57" s="27"/>
      <c r="K57" s="27"/>
      <c r="L57" s="27"/>
      <c r="M57" s="27"/>
      <c r="N57" s="27"/>
      <c r="O57" s="27"/>
      <c r="P57" s="52"/>
      <c r="Q57" s="31"/>
      <c r="S57" t="s">
        <v>977</v>
      </c>
      <c r="T57">
        <f>Y35*$U$52</f>
        <v>11.533257233953167</v>
      </c>
    </row>
    <row r="58" spans="1:37" x14ac:dyDescent="0.25">
      <c r="A58" s="9"/>
      <c r="B58" s="27"/>
      <c r="C58" s="27"/>
      <c r="D58" s="27"/>
      <c r="E58" s="27"/>
      <c r="F58" s="27"/>
      <c r="G58" s="27"/>
      <c r="H58" s="27"/>
      <c r="I58" s="27"/>
      <c r="J58" s="27"/>
      <c r="K58" s="27"/>
      <c r="L58" s="27"/>
      <c r="M58" s="27"/>
      <c r="N58" s="27"/>
      <c r="O58" s="27"/>
      <c r="P58" s="52"/>
      <c r="Q58" s="31"/>
      <c r="S58" t="s">
        <v>978</v>
      </c>
      <c r="T58">
        <f>Y36*$U$52</f>
        <v>6.9767213814549596</v>
      </c>
    </row>
    <row r="59" spans="1:37" x14ac:dyDescent="0.25">
      <c r="A59" s="9"/>
      <c r="B59" s="27"/>
      <c r="C59" s="27"/>
      <c r="D59" s="27"/>
      <c r="E59" s="27"/>
      <c r="F59" s="27"/>
      <c r="G59" s="27"/>
      <c r="H59" s="27"/>
      <c r="I59" s="27"/>
      <c r="J59" s="27"/>
      <c r="K59" s="27"/>
      <c r="L59" s="27"/>
      <c r="M59" s="27"/>
      <c r="N59" s="27"/>
      <c r="O59" s="27"/>
      <c r="P59" s="52"/>
      <c r="Q59" s="31"/>
      <c r="S59" t="s">
        <v>979</v>
      </c>
      <c r="T59">
        <f>Y37*$U$52</f>
        <v>4.2793652054938569</v>
      </c>
    </row>
    <row r="60" spans="1:37" x14ac:dyDescent="0.25">
      <c r="A60" s="27"/>
      <c r="B60" s="27"/>
      <c r="C60" s="27"/>
      <c r="D60" s="27"/>
      <c r="E60" s="27"/>
      <c r="F60" s="27"/>
      <c r="G60" s="27"/>
      <c r="H60" s="27"/>
      <c r="I60" s="27"/>
      <c r="J60" s="27"/>
      <c r="K60" s="27"/>
      <c r="L60" s="27"/>
      <c r="M60" s="27"/>
      <c r="N60" s="27"/>
      <c r="O60" s="27"/>
      <c r="P60" s="52"/>
      <c r="Q60" s="31"/>
      <c r="S60" t="s">
        <v>1005</v>
      </c>
      <c r="T60">
        <f>Y38*$U$52</f>
        <v>2.6058940687625078</v>
      </c>
    </row>
    <row r="61" spans="1:37" x14ac:dyDescent="0.25">
      <c r="A61" s="36"/>
      <c r="B61" s="27"/>
      <c r="C61" s="27"/>
      <c r="D61" s="27"/>
      <c r="E61" s="27"/>
      <c r="F61" s="27"/>
      <c r="G61" s="27"/>
      <c r="H61" s="27"/>
      <c r="I61" s="27"/>
      <c r="J61" s="27"/>
      <c r="K61" s="27"/>
      <c r="L61" s="27"/>
      <c r="M61" s="27"/>
      <c r="N61" s="27"/>
      <c r="O61" s="27"/>
      <c r="P61" s="52"/>
      <c r="Q61" s="31"/>
    </row>
    <row r="62" spans="1:37" x14ac:dyDescent="0.25">
      <c r="A62" s="36"/>
      <c r="B62" s="27"/>
      <c r="C62" s="27"/>
      <c r="D62" s="27"/>
      <c r="E62" s="27"/>
      <c r="F62" s="27"/>
      <c r="G62" s="27"/>
      <c r="H62" s="27"/>
      <c r="I62" s="27"/>
      <c r="J62" s="27"/>
      <c r="K62" s="27"/>
      <c r="L62" s="27"/>
      <c r="M62" s="27"/>
      <c r="N62" s="27"/>
      <c r="O62" s="27"/>
      <c r="P62" s="52"/>
      <c r="Q62" s="31"/>
      <c r="S62" s="1" t="s">
        <v>1006</v>
      </c>
    </row>
    <row r="63" spans="1:37" x14ac:dyDescent="0.25">
      <c r="A63" s="36"/>
      <c r="B63" s="27"/>
      <c r="C63" s="27"/>
      <c r="D63" s="27"/>
      <c r="E63" s="27"/>
      <c r="F63" s="27"/>
      <c r="G63" s="27"/>
      <c r="H63" s="27"/>
      <c r="I63" s="27"/>
      <c r="J63" s="27"/>
      <c r="K63" s="27"/>
      <c r="L63" s="27"/>
      <c r="M63" s="27"/>
      <c r="N63" s="27"/>
      <c r="O63" s="27"/>
      <c r="P63" s="52"/>
      <c r="Q63" s="31"/>
    </row>
    <row r="64" spans="1:37" x14ac:dyDescent="0.25">
      <c r="A64" s="36"/>
      <c r="B64" s="27"/>
      <c r="C64" s="27"/>
      <c r="D64" s="27"/>
      <c r="E64" s="27"/>
      <c r="F64" s="27"/>
      <c r="G64" s="27"/>
      <c r="H64" s="27"/>
      <c r="I64" s="27"/>
      <c r="J64" s="27"/>
      <c r="K64" s="27"/>
      <c r="L64" s="27"/>
      <c r="M64" s="27"/>
      <c r="N64" s="27"/>
      <c r="O64" s="27"/>
      <c r="P64" s="52"/>
      <c r="Q64" s="31"/>
      <c r="S64" s="1" t="s">
        <v>1007</v>
      </c>
      <c r="T64" s="1"/>
      <c r="U64" s="1"/>
      <c r="V64" s="1"/>
      <c r="W64" s="1"/>
      <c r="X64" s="1"/>
      <c r="Y64" s="1"/>
      <c r="Z64" s="1"/>
      <c r="AA64" s="1"/>
      <c r="AB64" s="1"/>
      <c r="AC64" s="1"/>
      <c r="AD64" s="1"/>
      <c r="AE64" s="1"/>
      <c r="AF64" s="1"/>
      <c r="AG64" s="1"/>
      <c r="AH64" s="1"/>
      <c r="AI64" s="1"/>
      <c r="AJ64" s="1"/>
      <c r="AK64" s="1"/>
    </row>
    <row r="65" spans="1:24" x14ac:dyDescent="0.25">
      <c r="A65" s="36"/>
      <c r="B65" s="27"/>
      <c r="C65" s="27"/>
      <c r="D65" s="27"/>
      <c r="E65" s="27"/>
      <c r="F65" s="27"/>
      <c r="G65" s="27"/>
      <c r="H65" s="27"/>
      <c r="I65" s="27"/>
      <c r="J65" s="27"/>
      <c r="K65" s="27"/>
      <c r="L65" s="27"/>
      <c r="M65" s="27"/>
      <c r="N65" s="27"/>
      <c r="O65" s="27"/>
      <c r="P65" s="52"/>
      <c r="Q65" s="31"/>
    </row>
    <row r="66" spans="1:24" x14ac:dyDescent="0.25">
      <c r="A66" s="36"/>
      <c r="B66" s="27"/>
      <c r="C66" s="27"/>
      <c r="D66" s="27"/>
      <c r="E66" s="27"/>
      <c r="F66" s="27"/>
      <c r="G66" s="27"/>
      <c r="H66" s="27"/>
      <c r="I66" s="27"/>
      <c r="J66" s="27"/>
      <c r="K66" s="27"/>
      <c r="L66" s="27"/>
      <c r="M66" s="27"/>
      <c r="N66" s="27"/>
      <c r="O66" s="27"/>
      <c r="P66" s="52"/>
      <c r="Q66" s="31"/>
      <c r="S66" s="1" t="s">
        <v>1008</v>
      </c>
    </row>
    <row r="67" spans="1:24" x14ac:dyDescent="0.25">
      <c r="A67" s="36"/>
      <c r="B67" s="27"/>
      <c r="C67" s="27"/>
      <c r="D67" s="27"/>
      <c r="E67" s="27"/>
      <c r="F67" s="27"/>
      <c r="G67" s="27"/>
      <c r="H67" s="27"/>
      <c r="I67" s="27"/>
      <c r="J67" s="27"/>
      <c r="K67" s="27"/>
      <c r="L67" s="27"/>
      <c r="M67" s="27"/>
      <c r="N67" s="27"/>
      <c r="O67" s="27"/>
      <c r="P67" s="52"/>
      <c r="Q67" s="31"/>
    </row>
    <row r="68" spans="1:24" x14ac:dyDescent="0.25">
      <c r="A68" s="36"/>
      <c r="B68" s="27"/>
      <c r="C68" s="27"/>
      <c r="D68" s="27"/>
      <c r="E68" s="27"/>
      <c r="F68" s="27"/>
      <c r="G68" s="27"/>
      <c r="H68" s="27"/>
      <c r="I68" s="27"/>
      <c r="J68" s="27"/>
      <c r="K68" s="27"/>
      <c r="L68" s="27"/>
      <c r="M68" s="27"/>
      <c r="N68" s="27"/>
      <c r="O68" s="27"/>
      <c r="P68" s="52"/>
      <c r="Q68" s="31"/>
      <c r="S68" t="s">
        <v>1009</v>
      </c>
    </row>
    <row r="69" spans="1:24" x14ac:dyDescent="0.25">
      <c r="A69" s="36"/>
      <c r="B69" s="27"/>
      <c r="C69" s="27"/>
      <c r="D69" s="27"/>
      <c r="E69" s="27"/>
      <c r="F69" s="27"/>
      <c r="G69" s="27"/>
      <c r="H69" s="27"/>
      <c r="I69" s="27"/>
      <c r="J69" s="27"/>
      <c r="K69" s="27"/>
      <c r="L69" s="27"/>
      <c r="M69" s="27"/>
      <c r="N69" s="27"/>
      <c r="O69" s="27"/>
      <c r="P69" s="52"/>
      <c r="Q69" s="31"/>
      <c r="S69" s="359"/>
    </row>
    <row r="70" spans="1:24" x14ac:dyDescent="0.25">
      <c r="A70" s="36"/>
      <c r="B70" s="27"/>
      <c r="C70" s="27"/>
      <c r="D70" s="27"/>
      <c r="E70" s="27"/>
      <c r="F70" s="27"/>
      <c r="G70" s="27"/>
      <c r="H70" s="27"/>
      <c r="I70" s="27"/>
      <c r="J70" s="27"/>
      <c r="K70" s="27"/>
      <c r="L70" s="27"/>
      <c r="M70" s="27"/>
      <c r="N70" s="27"/>
      <c r="O70" s="27"/>
      <c r="P70" s="52"/>
      <c r="Q70" s="31"/>
      <c r="S70" t="s">
        <v>914</v>
      </c>
      <c r="T70">
        <v>1</v>
      </c>
      <c r="U70">
        <v>2</v>
      </c>
      <c r="V70">
        <v>3</v>
      </c>
      <c r="W70">
        <v>4</v>
      </c>
      <c r="X70">
        <v>5</v>
      </c>
    </row>
    <row r="71" spans="1:24" x14ac:dyDescent="0.25">
      <c r="A71" s="36"/>
      <c r="B71" s="27"/>
      <c r="C71" s="27"/>
      <c r="D71" s="27"/>
      <c r="E71" s="27"/>
      <c r="F71" s="27"/>
      <c r="G71" s="27"/>
      <c r="H71" s="27"/>
      <c r="I71" s="27"/>
      <c r="J71" s="27"/>
      <c r="K71" s="27"/>
      <c r="L71" s="27"/>
      <c r="M71" s="27"/>
      <c r="N71" s="27"/>
      <c r="O71" s="27"/>
      <c r="P71" s="52"/>
      <c r="Q71" s="31"/>
      <c r="S71" t="s">
        <v>1010</v>
      </c>
      <c r="T71">
        <f>T56</f>
        <v>14.585681318446968</v>
      </c>
      <c r="U71">
        <f>T57</f>
        <v>11.533257233953167</v>
      </c>
      <c r="V71">
        <f>T58</f>
        <v>6.9767213814549596</v>
      </c>
      <c r="W71">
        <f>T59</f>
        <v>4.2793652054938569</v>
      </c>
      <c r="X71">
        <f>T60</f>
        <v>2.6058940687625078</v>
      </c>
    </row>
    <row r="72" spans="1:24" x14ac:dyDescent="0.25">
      <c r="A72" s="36"/>
      <c r="B72" s="27"/>
      <c r="C72" s="27"/>
      <c r="D72" s="27"/>
      <c r="E72" s="27"/>
      <c r="F72" s="27"/>
      <c r="G72" s="27"/>
      <c r="H72" s="27"/>
      <c r="I72" s="27"/>
      <c r="J72" s="27"/>
      <c r="K72" s="27"/>
      <c r="L72" s="27"/>
      <c r="M72" s="27"/>
      <c r="N72" s="27"/>
      <c r="O72" s="27"/>
      <c r="P72" s="52"/>
      <c r="Q72" s="31"/>
      <c r="S72" t="s">
        <v>867</v>
      </c>
      <c r="T72" s="355">
        <f>B29</f>
        <v>2.5000000000000001E-2</v>
      </c>
      <c r="U72" s="355">
        <f>B30</f>
        <v>2.75E-2</v>
      </c>
      <c r="V72" s="355">
        <f>B31</f>
        <v>0.03</v>
      </c>
      <c r="W72" s="355">
        <f>B32</f>
        <v>3.2500000000000001E-2</v>
      </c>
      <c r="X72" s="355">
        <f>B33</f>
        <v>3.5000000000000003E-2</v>
      </c>
    </row>
    <row r="73" spans="1:24" x14ac:dyDescent="0.25">
      <c r="A73" s="36"/>
      <c r="B73" s="27"/>
      <c r="C73" s="27"/>
      <c r="D73" s="27"/>
      <c r="E73" s="27"/>
      <c r="F73" s="27"/>
      <c r="G73" s="27"/>
      <c r="H73" s="27"/>
      <c r="I73" s="27"/>
      <c r="J73" s="27"/>
      <c r="K73" s="27"/>
      <c r="L73" s="27"/>
      <c r="M73" s="27"/>
      <c r="N73" s="27"/>
      <c r="O73" s="27"/>
      <c r="P73" s="52"/>
      <c r="Q73" s="31"/>
      <c r="S73" t="s">
        <v>1011</v>
      </c>
      <c r="T73">
        <f>T71/(1 +T72)^T70</f>
        <v>14.229932993606798</v>
      </c>
      <c r="U73">
        <f t="shared" ref="U73:X73" si="7">U71/(1 +U72)^U70</f>
        <v>10.924166666267109</v>
      </c>
      <c r="V73">
        <f t="shared" si="7"/>
        <v>6.3846883818693598</v>
      </c>
      <c r="W73">
        <f t="shared" si="7"/>
        <v>3.7654692892677661</v>
      </c>
      <c r="X73">
        <f t="shared" si="7"/>
        <v>2.1940928815738134</v>
      </c>
    </row>
    <row r="74" spans="1:24" ht="14.25" customHeight="1" x14ac:dyDescent="0.25">
      <c r="A74" s="36"/>
      <c r="B74" s="27"/>
      <c r="C74" s="27"/>
      <c r="D74" s="27"/>
      <c r="E74" s="27"/>
      <c r="F74" s="27"/>
      <c r="G74" s="27"/>
      <c r="H74" s="27"/>
      <c r="I74" s="27"/>
      <c r="J74" s="27"/>
      <c r="K74" s="27"/>
      <c r="L74" s="27"/>
      <c r="M74" s="27"/>
      <c r="N74" s="27"/>
      <c r="O74" s="27"/>
      <c r="P74" s="52"/>
      <c r="Q74" s="31"/>
    </row>
    <row r="75" spans="1:24" x14ac:dyDescent="0.25">
      <c r="A75" s="36"/>
      <c r="B75" s="27"/>
      <c r="C75" s="27"/>
      <c r="D75" s="27"/>
      <c r="E75" s="27"/>
      <c r="F75" s="27"/>
      <c r="G75" s="27"/>
      <c r="H75" s="27"/>
      <c r="I75" s="27"/>
      <c r="J75" s="27"/>
      <c r="K75" s="27"/>
      <c r="L75" s="27"/>
      <c r="M75" s="27"/>
      <c r="N75" s="27"/>
      <c r="O75" s="27"/>
      <c r="P75" s="52"/>
      <c r="Q75" s="31"/>
      <c r="S75" t="s">
        <v>1012</v>
      </c>
    </row>
    <row r="76" spans="1:24" x14ac:dyDescent="0.25">
      <c r="A76" s="27"/>
      <c r="B76" s="27"/>
      <c r="C76" s="27"/>
      <c r="D76" s="27"/>
      <c r="E76" s="27"/>
      <c r="F76" s="27"/>
      <c r="G76" s="27"/>
      <c r="H76" s="27"/>
      <c r="I76" s="27"/>
      <c r="J76" s="27"/>
      <c r="K76" s="27"/>
      <c r="L76" s="27"/>
      <c r="M76" s="27"/>
      <c r="N76" s="27"/>
      <c r="O76" s="27"/>
      <c r="P76" s="52"/>
      <c r="Q76" s="31"/>
    </row>
    <row r="77" spans="1:24" x14ac:dyDescent="0.25">
      <c r="A77" s="27"/>
      <c r="B77" s="27"/>
      <c r="C77" s="27"/>
      <c r="D77" s="27"/>
      <c r="E77" s="27"/>
      <c r="F77" s="27"/>
      <c r="G77" s="27"/>
      <c r="H77" s="27"/>
      <c r="I77" s="27"/>
      <c r="J77" s="27"/>
      <c r="K77" s="27"/>
      <c r="L77" s="27"/>
      <c r="M77" s="27"/>
      <c r="N77" s="27"/>
      <c r="O77" s="27"/>
      <c r="P77" s="52"/>
      <c r="Q77" s="31"/>
      <c r="S77" t="s">
        <v>1013</v>
      </c>
      <c r="U77">
        <f xml:space="preserve"> SUM(T73:X73)</f>
        <v>37.498350212584846</v>
      </c>
    </row>
    <row r="78" spans="1:24" x14ac:dyDescent="0.25">
      <c r="A78" s="27"/>
      <c r="B78" s="27"/>
      <c r="C78" s="27"/>
      <c r="D78" s="27"/>
      <c r="E78" s="27"/>
      <c r="F78" s="27"/>
      <c r="G78" s="27"/>
      <c r="H78" s="27"/>
      <c r="I78" s="27"/>
      <c r="J78" s="27"/>
      <c r="K78" s="27"/>
      <c r="L78" s="27"/>
      <c r="M78" s="27"/>
      <c r="N78" s="27"/>
      <c r="O78" s="27"/>
      <c r="P78" s="52"/>
      <c r="Q78" s="31"/>
    </row>
    <row r="79" spans="1:24" x14ac:dyDescent="0.25">
      <c r="A79" s="27"/>
      <c r="B79" s="27"/>
      <c r="C79" s="27"/>
      <c r="D79" s="27"/>
      <c r="E79" s="27"/>
      <c r="F79" s="27"/>
      <c r="G79" s="27"/>
      <c r="H79" s="27"/>
      <c r="I79" s="27"/>
      <c r="J79" s="27"/>
      <c r="K79" s="27"/>
      <c r="L79" s="27"/>
      <c r="M79" s="27"/>
      <c r="N79" s="27"/>
      <c r="O79" s="27"/>
      <c r="P79" s="52"/>
      <c r="Q79" s="31"/>
      <c r="S79" s="1" t="s">
        <v>1014</v>
      </c>
    </row>
    <row r="80" spans="1:24" x14ac:dyDescent="0.25">
      <c r="A80" s="27"/>
      <c r="B80" s="27"/>
      <c r="C80" s="27"/>
      <c r="D80" s="27"/>
      <c r="E80" s="27"/>
      <c r="F80" s="27"/>
      <c r="G80" s="27"/>
      <c r="H80" s="27"/>
      <c r="I80" s="27"/>
      <c r="J80" s="27"/>
      <c r="K80" s="27"/>
      <c r="L80" s="27"/>
      <c r="M80" s="27"/>
      <c r="N80" s="27"/>
      <c r="O80" s="27"/>
      <c r="P80" s="52"/>
      <c r="Q80" s="31"/>
      <c r="S80" s="359"/>
    </row>
    <row r="81" spans="1:22" x14ac:dyDescent="0.25">
      <c r="A81" s="27"/>
      <c r="B81" s="27"/>
      <c r="C81" s="27"/>
      <c r="D81" s="27"/>
      <c r="E81" s="27"/>
      <c r="F81" s="27"/>
      <c r="G81" s="27"/>
      <c r="H81" s="27"/>
      <c r="I81" s="27"/>
      <c r="J81" s="27"/>
      <c r="K81" s="27"/>
      <c r="L81" s="27"/>
      <c r="M81" s="27"/>
      <c r="N81" s="27"/>
      <c r="O81" s="27"/>
      <c r="P81" s="52"/>
      <c r="Q81" s="31"/>
      <c r="S81" t="s">
        <v>1015</v>
      </c>
    </row>
    <row r="82" spans="1:22" x14ac:dyDescent="0.25">
      <c r="A82" s="27"/>
      <c r="B82" s="27"/>
      <c r="C82" s="27"/>
      <c r="D82" s="27"/>
      <c r="E82" s="27"/>
      <c r="F82" s="27"/>
      <c r="G82" s="27"/>
      <c r="H82" s="27"/>
      <c r="I82" s="27"/>
      <c r="J82" s="27"/>
      <c r="K82" s="27"/>
      <c r="L82" s="27"/>
      <c r="M82" s="27"/>
      <c r="N82" s="27"/>
      <c r="O82" s="27"/>
      <c r="P82" s="52"/>
      <c r="Q82" s="31"/>
      <c r="S82" t="s">
        <v>1016</v>
      </c>
      <c r="V82">
        <f>U77*0.85</f>
        <v>31.873597680697117</v>
      </c>
    </row>
    <row r="83" spans="1:22" x14ac:dyDescent="0.25">
      <c r="A83" s="27"/>
      <c r="B83" s="27"/>
      <c r="C83" s="27"/>
      <c r="D83" s="27"/>
      <c r="E83" s="27"/>
      <c r="F83" s="27"/>
      <c r="G83" s="27"/>
      <c r="H83" s="27"/>
      <c r="I83" s="27"/>
      <c r="J83" s="27"/>
      <c r="K83" s="27"/>
      <c r="L83" s="27"/>
      <c r="M83" s="27"/>
      <c r="N83" s="27"/>
      <c r="O83" s="27"/>
      <c r="P83" s="52"/>
      <c r="Q83" s="31"/>
    </row>
    <row r="84" spans="1:22" x14ac:dyDescent="0.25">
      <c r="A84" s="27"/>
      <c r="B84" s="27"/>
      <c r="C84" s="27"/>
      <c r="D84" s="27"/>
      <c r="E84" s="27"/>
      <c r="F84" s="27"/>
      <c r="G84" s="27"/>
      <c r="H84" s="27"/>
      <c r="I84" s="27"/>
      <c r="J84" s="27"/>
      <c r="K84" s="27"/>
      <c r="L84" s="27"/>
      <c r="M84" s="27"/>
      <c r="N84" s="27"/>
      <c r="O84" s="27"/>
      <c r="P84" s="52"/>
      <c r="Q84" s="31"/>
      <c r="S84" s="1" t="s">
        <v>1017</v>
      </c>
    </row>
    <row r="85" spans="1:22" x14ac:dyDescent="0.25">
      <c r="A85" s="27"/>
      <c r="B85" s="27"/>
      <c r="C85" s="27"/>
      <c r="D85" s="27"/>
      <c r="E85" s="27"/>
      <c r="F85" s="27"/>
      <c r="G85" s="27"/>
      <c r="H85" s="27"/>
      <c r="I85" s="27"/>
      <c r="J85" s="27"/>
      <c r="K85" s="27"/>
      <c r="L85" s="27"/>
      <c r="M85" s="27"/>
      <c r="N85" s="27"/>
      <c r="O85" s="27"/>
      <c r="P85" s="27"/>
      <c r="Q85" s="31"/>
    </row>
    <row r="86" spans="1:22" x14ac:dyDescent="0.25">
      <c r="A86" s="27"/>
      <c r="B86" s="27"/>
      <c r="C86" s="27"/>
      <c r="D86" s="27"/>
      <c r="E86" s="27"/>
      <c r="F86" s="27"/>
      <c r="G86" s="27"/>
      <c r="H86" s="27"/>
      <c r="I86" s="27"/>
      <c r="J86" s="27"/>
      <c r="K86" s="27"/>
      <c r="L86" s="27"/>
      <c r="M86" s="27"/>
      <c r="N86" s="27"/>
      <c r="O86" s="27"/>
      <c r="P86" s="27"/>
      <c r="Q86" s="31"/>
    </row>
    <row r="87" spans="1:22" ht="15.75" thickBot="1" x14ac:dyDescent="0.3">
      <c r="A87" s="37"/>
      <c r="B87" s="37"/>
      <c r="C87" s="37"/>
      <c r="D87" s="37"/>
      <c r="E87" s="37"/>
      <c r="F87" s="37"/>
      <c r="G87" s="37"/>
      <c r="H87" s="37"/>
      <c r="I87" s="37"/>
      <c r="J87" s="37"/>
      <c r="K87" s="37"/>
      <c r="L87" s="37"/>
      <c r="M87" s="37"/>
      <c r="N87" s="37"/>
      <c r="O87" s="37"/>
      <c r="P87" s="37"/>
      <c r="Q87" s="34"/>
    </row>
    <row r="93" spans="1:22" s="1" customFormat="1" x14ac:dyDescent="0.25"/>
  </sheetData>
  <mergeCells count="1">
    <mergeCell ref="P1:Q1"/>
  </mergeCells>
  <conditionalFormatting sqref="B1">
    <cfRule type="cellIs" dxfId="26" priority="1" operator="equal">
      <formula>"Incomplete"</formula>
    </cfRule>
    <cfRule type="cellIs" dxfId="25" priority="2" operator="equal">
      <formula>"Flag for Review"</formula>
    </cfRule>
    <cfRule type="cellIs" dxfId="24"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47"/>
  <sheetViews>
    <sheetView workbookViewId="0"/>
  </sheetViews>
  <sheetFormatPr defaultColWidth="9.140625" defaultRowHeight="15" x14ac:dyDescent="0.25"/>
  <cols>
    <col min="1" max="1" width="8.7109375" style="29" customWidth="1"/>
    <col min="2" max="2" width="26.85546875" style="29" customWidth="1"/>
    <col min="3" max="3" width="12.5703125" style="29" customWidth="1"/>
    <col min="4" max="7" width="10.85546875" style="29" customWidth="1"/>
    <col min="8" max="9" width="9.42578125" style="29" customWidth="1"/>
    <col min="10" max="10" width="10.7109375" style="29" customWidth="1"/>
    <col min="11" max="16384" width="9.140625" style="29"/>
  </cols>
  <sheetData>
    <row r="1" spans="1:12" x14ac:dyDescent="0.25">
      <c r="A1" s="7">
        <v>21</v>
      </c>
      <c r="B1" s="41" t="s">
        <v>12</v>
      </c>
      <c r="C1" s="28"/>
      <c r="D1" s="28"/>
      <c r="E1" s="28"/>
      <c r="F1" s="28"/>
      <c r="G1" s="28"/>
      <c r="H1" s="388" t="s">
        <v>30</v>
      </c>
      <c r="I1" s="390"/>
      <c r="K1" s="29" t="s">
        <v>54</v>
      </c>
      <c r="L1" s="70" t="s">
        <v>879</v>
      </c>
    </row>
    <row r="2" spans="1:12" x14ac:dyDescent="0.25">
      <c r="A2" s="30"/>
      <c r="B2" s="27"/>
      <c r="C2" s="27"/>
      <c r="D2" s="27"/>
      <c r="E2" s="27"/>
      <c r="F2" s="27"/>
      <c r="G2" s="27"/>
      <c r="H2" s="27"/>
      <c r="I2" s="31"/>
    </row>
    <row r="3" spans="1:12" x14ac:dyDescent="0.25">
      <c r="A3" s="8" t="s">
        <v>13</v>
      </c>
      <c r="B3" s="36"/>
      <c r="C3" s="27"/>
      <c r="D3" s="27"/>
      <c r="E3" s="27"/>
      <c r="F3" s="27"/>
      <c r="G3" s="27"/>
      <c r="H3" s="27"/>
      <c r="I3" s="31"/>
    </row>
    <row r="4" spans="1:12" x14ac:dyDescent="0.25">
      <c r="A4" s="9">
        <f>INDEX('Point Grid'!B:B,MATCH($A$1,'Point Grid'!A:A,0))</f>
        <v>3.5</v>
      </c>
      <c r="B4" s="36"/>
      <c r="C4" s="27"/>
      <c r="D4" s="27"/>
      <c r="E4" s="27"/>
      <c r="F4" s="27"/>
      <c r="G4" s="27"/>
      <c r="H4" s="27"/>
      <c r="I4" s="31"/>
      <c r="K4" s="57" t="s">
        <v>2</v>
      </c>
      <c r="L4" s="29" t="s">
        <v>209</v>
      </c>
    </row>
    <row r="5" spans="1:12" x14ac:dyDescent="0.25">
      <c r="A5" s="30"/>
      <c r="B5" s="36"/>
      <c r="C5" s="27"/>
      <c r="D5" s="27"/>
      <c r="E5" s="27"/>
      <c r="F5" s="27"/>
      <c r="G5" s="27"/>
      <c r="H5" s="27"/>
      <c r="I5" s="31"/>
      <c r="L5" s="29" t="s">
        <v>207</v>
      </c>
    </row>
    <row r="6" spans="1:12" x14ac:dyDescent="0.25">
      <c r="A6" s="35" t="s">
        <v>2</v>
      </c>
      <c r="B6" s="27" t="s">
        <v>200</v>
      </c>
      <c r="C6" s="27"/>
      <c r="D6" s="27"/>
      <c r="E6" s="27"/>
      <c r="F6" s="27"/>
      <c r="G6" s="27"/>
      <c r="H6" s="27"/>
      <c r="I6" s="31"/>
      <c r="L6" s="29" t="s">
        <v>208</v>
      </c>
    </row>
    <row r="7" spans="1:12" ht="15.75" thickBot="1" x14ac:dyDescent="0.3">
      <c r="A7" s="9">
        <f>INDEX('Point Grid'!$C$8:$I$33,MATCH($A$1,'Point Grid'!$A$8:$A$33,0),MATCH(A6,'Point Grid'!$C$7:$I$7,0))</f>
        <v>0.5</v>
      </c>
      <c r="B7" s="27"/>
      <c r="C7" s="27"/>
      <c r="D7" s="27"/>
      <c r="E7" s="27"/>
      <c r="F7" s="27"/>
      <c r="G7" s="27"/>
      <c r="H7" s="27"/>
      <c r="I7" s="31"/>
    </row>
    <row r="8" spans="1:12" ht="15.75" thickBot="1" x14ac:dyDescent="0.3">
      <c r="A8" s="5"/>
      <c r="B8" s="27" t="s">
        <v>201</v>
      </c>
      <c r="C8" s="27"/>
      <c r="D8" s="27"/>
      <c r="E8" s="27"/>
      <c r="F8" s="27"/>
      <c r="G8" s="27"/>
      <c r="H8" s="27"/>
      <c r="I8" s="31"/>
      <c r="L8" s="29" t="s">
        <v>206</v>
      </c>
    </row>
    <row r="9" spans="1:12" x14ac:dyDescent="0.25">
      <c r="A9" s="30"/>
      <c r="B9" s="27" t="s">
        <v>202</v>
      </c>
      <c r="C9" s="27"/>
      <c r="D9" s="27"/>
      <c r="E9" s="27"/>
      <c r="F9" s="27"/>
      <c r="G9" s="27"/>
      <c r="H9" s="27"/>
      <c r="I9" s="31"/>
      <c r="L9" s="29" t="s">
        <v>210</v>
      </c>
    </row>
    <row r="10" spans="1:12" x14ac:dyDescent="0.25">
      <c r="A10" s="30"/>
      <c r="B10" s="27"/>
      <c r="C10" s="27"/>
      <c r="D10" s="27"/>
      <c r="E10" s="27"/>
      <c r="F10" s="27"/>
      <c r="G10" s="27"/>
      <c r="H10" s="27"/>
      <c r="I10" s="31"/>
      <c r="L10" s="29" t="s">
        <v>211</v>
      </c>
    </row>
    <row r="11" spans="1:12" x14ac:dyDescent="0.25">
      <c r="A11" s="35" t="s">
        <v>3</v>
      </c>
      <c r="B11" s="27" t="s">
        <v>203</v>
      </c>
      <c r="C11" s="27"/>
      <c r="D11" s="27"/>
      <c r="E11" s="27"/>
      <c r="F11" s="27"/>
      <c r="G11" s="27"/>
      <c r="H11" s="27"/>
      <c r="I11" s="31"/>
    </row>
    <row r="12" spans="1:12" ht="15.75" thickBot="1" x14ac:dyDescent="0.3">
      <c r="A12" s="9">
        <f>INDEX('Point Grid'!$C$8:$I$33,MATCH($A$1,'Point Grid'!$A$8:$A$33,0),MATCH(A11,'Point Grid'!$C$7:$I$7,0))</f>
        <v>1.5</v>
      </c>
      <c r="B12" s="27" t="s">
        <v>204</v>
      </c>
      <c r="C12" s="27"/>
      <c r="D12" s="27"/>
      <c r="E12" s="27"/>
      <c r="F12" s="27"/>
      <c r="G12" s="27"/>
      <c r="H12" s="27"/>
      <c r="I12" s="31"/>
      <c r="K12" s="57" t="s">
        <v>3</v>
      </c>
      <c r="L12" s="58" t="s">
        <v>221</v>
      </c>
    </row>
    <row r="13" spans="1:12" ht="15.75" thickBot="1" x14ac:dyDescent="0.3">
      <c r="A13" s="5"/>
      <c r="B13" s="36"/>
      <c r="C13" s="36"/>
      <c r="D13" s="27"/>
      <c r="E13" s="27"/>
      <c r="F13" s="27"/>
      <c r="G13" s="27"/>
      <c r="H13" s="27"/>
      <c r="I13" s="31"/>
      <c r="L13" s="29" t="s">
        <v>212</v>
      </c>
    </row>
    <row r="14" spans="1:12" x14ac:dyDescent="0.25">
      <c r="A14" s="36"/>
      <c r="B14" s="27" t="s">
        <v>205</v>
      </c>
      <c r="C14" s="27"/>
      <c r="D14" s="27"/>
      <c r="E14" s="27"/>
      <c r="F14" s="27"/>
      <c r="G14" s="27"/>
      <c r="H14" s="27"/>
      <c r="I14" s="31"/>
      <c r="L14" s="29" t="s">
        <v>213</v>
      </c>
    </row>
    <row r="15" spans="1:12" x14ac:dyDescent="0.25">
      <c r="A15" s="30"/>
      <c r="B15" s="27" t="s">
        <v>33</v>
      </c>
      <c r="C15" s="27"/>
      <c r="D15" s="27"/>
      <c r="E15" s="27"/>
      <c r="F15" s="27"/>
      <c r="G15" s="27"/>
      <c r="H15" s="27"/>
      <c r="I15" s="31"/>
      <c r="L15" s="29" t="s">
        <v>214</v>
      </c>
    </row>
    <row r="16" spans="1:12" x14ac:dyDescent="0.25">
      <c r="A16" s="30"/>
      <c r="B16" s="27"/>
      <c r="C16" s="27"/>
      <c r="D16" s="27"/>
      <c r="E16" s="27"/>
      <c r="F16" s="27"/>
      <c r="G16" s="27"/>
      <c r="H16" s="27"/>
      <c r="I16" s="31"/>
    </row>
    <row r="17" spans="1:12" x14ac:dyDescent="0.25">
      <c r="A17" s="35" t="s">
        <v>4</v>
      </c>
      <c r="B17" s="27" t="s">
        <v>223</v>
      </c>
      <c r="C17" s="27"/>
      <c r="D17" s="27"/>
      <c r="E17" s="27"/>
      <c r="F17" s="27"/>
      <c r="G17" s="27"/>
      <c r="H17" s="27"/>
      <c r="I17" s="31"/>
      <c r="L17" s="58" t="s">
        <v>222</v>
      </c>
    </row>
    <row r="18" spans="1:12" ht="15.75" thickBot="1" x14ac:dyDescent="0.3">
      <c r="A18" s="9">
        <f>INDEX('Point Grid'!$C$8:$I$33,MATCH($A$1,'Point Grid'!$A$8:$A$33,0),MATCH(A17,'Point Grid'!$C$7:$I$7,0))</f>
        <v>1.5</v>
      </c>
      <c r="B18" s="27"/>
      <c r="C18" s="27"/>
      <c r="D18" s="27"/>
      <c r="E18" s="27"/>
      <c r="F18" s="27"/>
      <c r="G18" s="27"/>
      <c r="H18" s="27"/>
      <c r="I18" s="31"/>
      <c r="L18" s="29" t="s">
        <v>217</v>
      </c>
    </row>
    <row r="19" spans="1:12" ht="15.75" thickBot="1" x14ac:dyDescent="0.3">
      <c r="A19" s="5"/>
      <c r="B19" s="27" t="s">
        <v>225</v>
      </c>
      <c r="C19" s="27"/>
      <c r="D19" s="27"/>
      <c r="E19" s="27"/>
      <c r="F19" s="27"/>
      <c r="G19" s="27"/>
      <c r="H19" s="27"/>
      <c r="I19" s="31"/>
      <c r="L19" s="29" t="s">
        <v>218</v>
      </c>
    </row>
    <row r="20" spans="1:12" x14ac:dyDescent="0.25">
      <c r="A20" s="30"/>
      <c r="B20" s="27" t="s">
        <v>224</v>
      </c>
      <c r="C20" s="27"/>
      <c r="D20" s="27"/>
      <c r="E20" s="27"/>
      <c r="F20" s="27"/>
      <c r="G20" s="27"/>
      <c r="H20" s="27"/>
      <c r="I20" s="31"/>
      <c r="L20" s="29" t="s">
        <v>215</v>
      </c>
    </row>
    <row r="21" spans="1:12" x14ac:dyDescent="0.25">
      <c r="A21" s="30"/>
      <c r="B21" s="27" t="s">
        <v>226</v>
      </c>
      <c r="C21" s="27"/>
      <c r="D21" s="27"/>
      <c r="E21" s="27"/>
      <c r="F21" s="27"/>
      <c r="G21" s="27"/>
      <c r="H21" s="27"/>
      <c r="I21" s="31"/>
      <c r="L21" s="29" t="s">
        <v>216</v>
      </c>
    </row>
    <row r="22" spans="1:12" x14ac:dyDescent="0.25">
      <c r="A22" s="30"/>
      <c r="B22" s="27"/>
      <c r="C22" s="27"/>
      <c r="D22" s="27"/>
      <c r="E22" s="27"/>
      <c r="F22" s="27"/>
      <c r="G22" s="27"/>
      <c r="H22" s="27"/>
      <c r="I22" s="31"/>
      <c r="L22" s="29" t="s">
        <v>219</v>
      </c>
    </row>
    <row r="23" spans="1:12" x14ac:dyDescent="0.25">
      <c r="A23" s="30"/>
      <c r="B23" s="27"/>
      <c r="C23" s="27"/>
      <c r="D23" s="27"/>
      <c r="E23" s="27"/>
      <c r="F23" s="27"/>
      <c r="G23" s="27"/>
      <c r="H23" s="27"/>
      <c r="I23" s="31"/>
      <c r="L23" s="29" t="s">
        <v>220</v>
      </c>
    </row>
    <row r="24" spans="1:12" x14ac:dyDescent="0.25">
      <c r="A24" s="30"/>
      <c r="B24" s="27"/>
      <c r="C24" s="27"/>
      <c r="D24" s="27"/>
      <c r="E24" s="27"/>
      <c r="F24" s="27"/>
      <c r="G24" s="27"/>
      <c r="H24" s="27"/>
      <c r="I24" s="31"/>
    </row>
    <row r="25" spans="1:12" x14ac:dyDescent="0.25">
      <c r="A25" s="30"/>
      <c r="B25" s="27"/>
      <c r="C25" s="27"/>
      <c r="D25" s="27"/>
      <c r="E25" s="27"/>
      <c r="F25" s="27"/>
      <c r="G25" s="27"/>
      <c r="H25" s="27"/>
      <c r="I25" s="31"/>
      <c r="K25" s="57" t="s">
        <v>4</v>
      </c>
      <c r="L25" s="29" t="s">
        <v>132</v>
      </c>
    </row>
    <row r="26" spans="1:12" x14ac:dyDescent="0.25">
      <c r="A26" s="30"/>
      <c r="B26" s="27"/>
      <c r="C26" s="27"/>
      <c r="D26" s="27"/>
      <c r="E26" s="27"/>
      <c r="F26" s="27"/>
      <c r="G26" s="27"/>
      <c r="H26" s="27"/>
      <c r="I26" s="31"/>
      <c r="L26" s="58" t="s">
        <v>227</v>
      </c>
    </row>
    <row r="27" spans="1:12" ht="15.75" thickBot="1" x14ac:dyDescent="0.3">
      <c r="A27" s="32"/>
      <c r="B27" s="33"/>
      <c r="C27" s="33"/>
      <c r="D27" s="33"/>
      <c r="E27" s="33"/>
      <c r="F27" s="33"/>
      <c r="G27" s="33"/>
      <c r="H27" s="33"/>
      <c r="I27" s="34"/>
      <c r="L27" s="29" t="s">
        <v>231</v>
      </c>
    </row>
    <row r="28" spans="1:12" x14ac:dyDescent="0.25">
      <c r="L28" s="29" t="s">
        <v>228</v>
      </c>
    </row>
    <row r="29" spans="1:12" x14ac:dyDescent="0.25">
      <c r="L29" s="58" t="s">
        <v>229</v>
      </c>
    </row>
    <row r="30" spans="1:12" x14ac:dyDescent="0.25">
      <c r="L30" s="29" t="s">
        <v>230</v>
      </c>
    </row>
    <row r="31" spans="1:12" x14ac:dyDescent="0.25">
      <c r="L31" s="29" t="s">
        <v>232</v>
      </c>
    </row>
    <row r="33" spans="12:12" x14ac:dyDescent="0.25">
      <c r="L33" s="29" t="s">
        <v>133</v>
      </c>
    </row>
    <row r="34" spans="12:12" x14ac:dyDescent="0.25">
      <c r="L34" s="58" t="s">
        <v>233</v>
      </c>
    </row>
    <row r="35" spans="12:12" x14ac:dyDescent="0.25">
      <c r="L35" s="29" t="s">
        <v>234</v>
      </c>
    </row>
    <row r="36" spans="12:12" x14ac:dyDescent="0.25">
      <c r="L36" s="29" t="s">
        <v>235</v>
      </c>
    </row>
    <row r="37" spans="12:12" x14ac:dyDescent="0.25">
      <c r="L37" s="58" t="s">
        <v>236</v>
      </c>
    </row>
    <row r="38" spans="12:12" x14ac:dyDescent="0.25">
      <c r="L38" s="29" t="s">
        <v>237</v>
      </c>
    </row>
    <row r="39" spans="12:12" x14ac:dyDescent="0.25">
      <c r="L39" s="29" t="s">
        <v>238</v>
      </c>
    </row>
    <row r="41" spans="12:12" x14ac:dyDescent="0.25">
      <c r="L41" s="29" t="s">
        <v>239</v>
      </c>
    </row>
    <row r="42" spans="12:12" x14ac:dyDescent="0.25">
      <c r="L42" s="58" t="s">
        <v>240</v>
      </c>
    </row>
    <row r="43" spans="12:12" x14ac:dyDescent="0.25">
      <c r="L43" s="29" t="s">
        <v>241</v>
      </c>
    </row>
    <row r="44" spans="12:12" x14ac:dyDescent="0.25">
      <c r="L44" s="29" t="s">
        <v>242</v>
      </c>
    </row>
    <row r="45" spans="12:12" x14ac:dyDescent="0.25">
      <c r="L45" s="58" t="s">
        <v>243</v>
      </c>
    </row>
    <row r="46" spans="12:12" x14ac:dyDescent="0.25">
      <c r="L46" s="29" t="s">
        <v>244</v>
      </c>
    </row>
    <row r="47" spans="12:12" x14ac:dyDescent="0.25">
      <c r="L47" s="29" t="s">
        <v>245</v>
      </c>
    </row>
  </sheetData>
  <mergeCells count="1">
    <mergeCell ref="H1:I1"/>
  </mergeCells>
  <conditionalFormatting sqref="B1">
    <cfRule type="cellIs" dxfId="23" priority="1" operator="equal">
      <formula>"Incomplete"</formula>
    </cfRule>
    <cfRule type="cellIs" dxfId="22" priority="2" operator="equal">
      <formula>"Flag for Review"</formula>
    </cfRule>
    <cfRule type="cellIs" dxfId="21"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L28"/>
  <sheetViews>
    <sheetView workbookViewId="0"/>
  </sheetViews>
  <sheetFormatPr defaultColWidth="9.140625" defaultRowHeight="15" x14ac:dyDescent="0.25"/>
  <cols>
    <col min="1" max="1" width="8.7109375" style="29" customWidth="1"/>
    <col min="2" max="2" width="16.7109375" style="29" customWidth="1"/>
    <col min="3" max="6" width="9.42578125" style="29" customWidth="1"/>
    <col min="7" max="7" width="10.28515625" style="29" customWidth="1"/>
    <col min="8" max="8" width="9.42578125" style="29" customWidth="1"/>
    <col min="9" max="9" width="36.7109375" style="29" customWidth="1"/>
    <col min="10" max="10" width="10.7109375" style="29" customWidth="1"/>
    <col min="11" max="16384" width="9.140625" style="29"/>
  </cols>
  <sheetData>
    <row r="1" spans="1:12" x14ac:dyDescent="0.25">
      <c r="A1" s="7">
        <v>22</v>
      </c>
      <c r="B1" s="41" t="s">
        <v>12</v>
      </c>
      <c r="C1" s="28"/>
      <c r="D1" s="28"/>
      <c r="E1" s="28"/>
      <c r="F1" s="28"/>
      <c r="G1" s="28"/>
      <c r="H1" s="388" t="s">
        <v>30</v>
      </c>
      <c r="I1" s="390"/>
      <c r="K1" s="29" t="s">
        <v>54</v>
      </c>
      <c r="L1" s="70" t="s">
        <v>880</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2</v>
      </c>
      <c r="B4" s="27"/>
      <c r="C4" s="27"/>
      <c r="D4" s="27"/>
      <c r="E4" s="27"/>
      <c r="F4" s="27"/>
      <c r="G4" s="27"/>
      <c r="H4" s="27"/>
      <c r="I4" s="31"/>
      <c r="K4" s="29" t="s">
        <v>2</v>
      </c>
    </row>
    <row r="5" spans="1:12" x14ac:dyDescent="0.25">
      <c r="A5" s="9"/>
      <c r="B5" s="27" t="s">
        <v>362</v>
      </c>
      <c r="C5" s="27"/>
      <c r="D5" s="27"/>
      <c r="E5" s="27"/>
      <c r="F5" s="27"/>
      <c r="G5" s="27"/>
      <c r="H5" s="27"/>
      <c r="I5" s="31"/>
      <c r="K5" s="57">
        <v>0.25</v>
      </c>
      <c r="L5" s="29" t="s">
        <v>367</v>
      </c>
    </row>
    <row r="6" spans="1:12" x14ac:dyDescent="0.25">
      <c r="A6" s="9"/>
      <c r="B6" s="27" t="s">
        <v>363</v>
      </c>
      <c r="C6" s="27"/>
      <c r="D6" s="27"/>
      <c r="E6" s="27"/>
      <c r="F6" s="27"/>
      <c r="G6" s="27"/>
      <c r="H6" s="27"/>
      <c r="I6" s="31"/>
      <c r="K6" s="57">
        <v>0.25</v>
      </c>
      <c r="L6" s="29" t="s">
        <v>368</v>
      </c>
    </row>
    <row r="7" spans="1:12" x14ac:dyDescent="0.25">
      <c r="A7" s="9"/>
      <c r="B7" s="27" t="s">
        <v>364</v>
      </c>
      <c r="C7" s="27"/>
      <c r="D7" s="27"/>
      <c r="E7" s="27"/>
      <c r="F7" s="27"/>
      <c r="G7" s="27"/>
      <c r="H7" s="27"/>
      <c r="I7" s="31"/>
    </row>
    <row r="8" spans="1:12" x14ac:dyDescent="0.25">
      <c r="A8" s="30"/>
      <c r="B8" s="27"/>
      <c r="C8" s="27"/>
      <c r="D8" s="27"/>
      <c r="E8" s="27"/>
      <c r="F8" s="27"/>
      <c r="G8" s="27"/>
      <c r="H8" s="27"/>
      <c r="I8" s="31"/>
      <c r="K8" s="29" t="s">
        <v>3</v>
      </c>
    </row>
    <row r="9" spans="1:12" x14ac:dyDescent="0.25">
      <c r="A9" s="35" t="s">
        <v>2</v>
      </c>
      <c r="B9" s="27" t="s">
        <v>365</v>
      </c>
      <c r="C9" s="27"/>
      <c r="D9" s="27"/>
      <c r="E9" s="27"/>
      <c r="F9" s="27"/>
      <c r="G9" s="27"/>
      <c r="H9" s="27"/>
      <c r="I9" s="31"/>
      <c r="K9" s="57">
        <v>0.25</v>
      </c>
      <c r="L9" s="29" t="s">
        <v>370</v>
      </c>
    </row>
    <row r="10" spans="1:12" ht="15.75" thickBot="1" x14ac:dyDescent="0.3">
      <c r="A10" s="9">
        <f>INDEX('Point Grid'!$C$8:$I$33,MATCH($A$1,'Point Grid'!$A$8:$A$33,0),MATCH(A9,'Point Grid'!$C$7:$I$7,0))</f>
        <v>0.5</v>
      </c>
      <c r="B10" s="27" t="s">
        <v>366</v>
      </c>
      <c r="C10" s="27"/>
      <c r="D10" s="27"/>
      <c r="E10" s="27"/>
      <c r="F10" s="27"/>
      <c r="G10" s="27"/>
      <c r="H10" s="27"/>
      <c r="I10" s="31"/>
      <c r="K10" s="57"/>
      <c r="L10" s="29" t="s">
        <v>371</v>
      </c>
    </row>
    <row r="11" spans="1:12" ht="15.75" thickBot="1" x14ac:dyDescent="0.3">
      <c r="A11" s="5"/>
      <c r="B11" s="27"/>
      <c r="C11" s="27"/>
      <c r="D11" s="27"/>
      <c r="E11" s="27"/>
      <c r="F11" s="27"/>
      <c r="G11" s="27"/>
      <c r="H11" s="27"/>
      <c r="I11" s="31"/>
      <c r="K11" s="57">
        <v>0.25</v>
      </c>
      <c r="L11" s="29" t="s">
        <v>372</v>
      </c>
    </row>
    <row r="12" spans="1:12" x14ac:dyDescent="0.25">
      <c r="A12" s="36"/>
      <c r="B12" s="27"/>
      <c r="C12" s="27"/>
      <c r="D12" s="27"/>
      <c r="E12" s="27"/>
      <c r="F12" s="27"/>
      <c r="G12" s="27"/>
      <c r="H12" s="27"/>
      <c r="I12" s="31"/>
      <c r="L12" s="29" t="s">
        <v>374</v>
      </c>
    </row>
    <row r="13" spans="1:12" x14ac:dyDescent="0.25">
      <c r="A13" s="35" t="s">
        <v>3</v>
      </c>
      <c r="B13" s="27" t="s">
        <v>369</v>
      </c>
      <c r="C13" s="27"/>
      <c r="D13" s="27"/>
      <c r="E13" s="27"/>
      <c r="F13" s="27"/>
      <c r="G13" s="27"/>
      <c r="H13" s="27"/>
      <c r="I13" s="31"/>
    </row>
    <row r="14" spans="1:12" ht="15.75" thickBot="1" x14ac:dyDescent="0.3">
      <c r="A14" s="9">
        <f>INDEX('Point Grid'!$C$8:$I$33,MATCH($A$1,'Point Grid'!$A$8:$A$33,0),MATCH(A13,'Point Grid'!$C$7:$I$7,0))</f>
        <v>0.5</v>
      </c>
      <c r="B14" s="27"/>
      <c r="C14" s="27"/>
      <c r="D14" s="27"/>
      <c r="E14" s="27"/>
      <c r="F14" s="27"/>
      <c r="G14" s="27"/>
      <c r="H14" s="27"/>
      <c r="I14" s="31"/>
      <c r="K14" s="29" t="s">
        <v>4</v>
      </c>
    </row>
    <row r="15" spans="1:12" ht="15.75" thickBot="1" x14ac:dyDescent="0.3">
      <c r="A15" s="5"/>
      <c r="B15" s="27"/>
      <c r="C15" s="27"/>
      <c r="D15" s="27"/>
      <c r="E15" s="27"/>
      <c r="F15" s="27"/>
      <c r="G15" s="27"/>
      <c r="H15" s="27"/>
      <c r="I15" s="31"/>
      <c r="K15" s="57">
        <v>0.25</v>
      </c>
      <c r="L15" t="s">
        <v>376</v>
      </c>
    </row>
    <row r="16" spans="1:12" x14ac:dyDescent="0.25">
      <c r="A16" s="36"/>
      <c r="B16" s="27"/>
      <c r="C16" s="27"/>
      <c r="D16" s="27"/>
      <c r="E16" s="27"/>
      <c r="F16" s="27"/>
      <c r="G16" s="27"/>
      <c r="H16" s="27"/>
      <c r="I16" s="31"/>
    </row>
    <row r="17" spans="1:12" x14ac:dyDescent="0.25">
      <c r="A17" s="36"/>
      <c r="B17" s="27" t="s">
        <v>373</v>
      </c>
      <c r="C17" s="27"/>
      <c r="D17" s="27"/>
      <c r="E17" s="27"/>
      <c r="F17" s="27"/>
      <c r="G17" s="27"/>
      <c r="H17" s="27"/>
      <c r="I17" s="31"/>
      <c r="L17" s="139" t="s">
        <v>377</v>
      </c>
    </row>
    <row r="18" spans="1:12" x14ac:dyDescent="0.25">
      <c r="A18" s="36"/>
      <c r="B18" s="27"/>
      <c r="C18" s="27"/>
      <c r="D18" s="27"/>
      <c r="E18" s="27"/>
      <c r="F18" s="27"/>
      <c r="G18" s="27"/>
      <c r="H18" s="27"/>
      <c r="I18" s="31"/>
      <c r="L18" s="140" t="s">
        <v>379</v>
      </c>
    </row>
    <row r="19" spans="1:12" x14ac:dyDescent="0.25">
      <c r="A19" s="35" t="s">
        <v>4</v>
      </c>
      <c r="B19" s="27" t="s">
        <v>375</v>
      </c>
      <c r="C19" s="27"/>
      <c r="D19" s="27"/>
      <c r="E19" s="27"/>
      <c r="F19" s="27"/>
      <c r="G19" s="27"/>
      <c r="H19" s="27"/>
      <c r="I19" s="31"/>
      <c r="L19" s="140" t="s">
        <v>381</v>
      </c>
    </row>
    <row r="20" spans="1:12" ht="15.75" thickBot="1" x14ac:dyDescent="0.3">
      <c r="A20" s="9">
        <f>INDEX('Point Grid'!$C$8:$I$33,MATCH($A$1,'Point Grid'!$A$8:$A$33,0),MATCH(A19,'Point Grid'!$C$7:$I$7,0))</f>
        <v>0.25</v>
      </c>
      <c r="B20" s="27"/>
      <c r="C20" s="27"/>
      <c r="D20" s="27"/>
      <c r="E20" s="27"/>
      <c r="F20" s="27"/>
      <c r="G20" s="27"/>
      <c r="H20" s="27"/>
      <c r="I20" s="31"/>
      <c r="K20" s="29" t="s">
        <v>5</v>
      </c>
    </row>
    <row r="21" spans="1:12" ht="15.75" thickBot="1" x14ac:dyDescent="0.3">
      <c r="A21" s="5"/>
      <c r="B21" s="27"/>
      <c r="C21" s="27"/>
      <c r="D21" s="27"/>
      <c r="E21" s="27"/>
      <c r="F21" s="27"/>
      <c r="G21" s="27"/>
      <c r="H21" s="27"/>
      <c r="I21" s="31"/>
      <c r="K21" s="57">
        <v>0.25</v>
      </c>
      <c r="L21" t="s">
        <v>382</v>
      </c>
    </row>
    <row r="22" spans="1:12" x14ac:dyDescent="0.25">
      <c r="A22" s="30"/>
      <c r="B22" s="27"/>
      <c r="C22" s="27"/>
      <c r="D22" s="27"/>
      <c r="E22" s="27"/>
      <c r="F22" s="27"/>
      <c r="G22" s="27"/>
      <c r="H22" s="27"/>
      <c r="I22" s="31"/>
      <c r="K22" s="57"/>
    </row>
    <row r="23" spans="1:12" x14ac:dyDescent="0.25">
      <c r="A23" s="35" t="s">
        <v>5</v>
      </c>
      <c r="B23" s="27" t="s">
        <v>378</v>
      </c>
      <c r="C23" s="27"/>
      <c r="D23" s="27"/>
      <c r="E23" s="27"/>
      <c r="F23" s="27"/>
      <c r="G23" s="27"/>
      <c r="H23" s="27"/>
      <c r="I23" s="31"/>
      <c r="K23" s="57">
        <v>0.5</v>
      </c>
      <c r="L23" t="s">
        <v>383</v>
      </c>
    </row>
    <row r="24" spans="1:12" ht="15.75" thickBot="1" x14ac:dyDescent="0.3">
      <c r="A24" s="9">
        <f>INDEX('Point Grid'!$C$8:$I$33,MATCH($A$1,'Point Grid'!$A$8:$A$33,0),MATCH(A23,'Point Grid'!$C$7:$I$7,0))</f>
        <v>0.75</v>
      </c>
      <c r="B24" s="27" t="s">
        <v>380</v>
      </c>
      <c r="C24" s="27"/>
      <c r="D24" s="27"/>
      <c r="E24" s="27"/>
      <c r="F24" s="27"/>
      <c r="G24" s="27"/>
      <c r="H24" s="27"/>
      <c r="I24" s="31"/>
      <c r="L24" t="s">
        <v>384</v>
      </c>
    </row>
    <row r="25" spans="1:12" ht="15.75" thickBot="1" x14ac:dyDescent="0.3">
      <c r="A25" s="5"/>
      <c r="B25" s="27"/>
      <c r="C25" s="27"/>
      <c r="D25" s="27"/>
      <c r="E25" s="27"/>
      <c r="F25" s="27"/>
      <c r="G25" s="27"/>
      <c r="H25" s="27"/>
      <c r="I25" s="31"/>
      <c r="L25" t="s">
        <v>385</v>
      </c>
    </row>
    <row r="26" spans="1:12" x14ac:dyDescent="0.25">
      <c r="A26" s="30"/>
      <c r="B26" s="27"/>
      <c r="C26" s="27"/>
      <c r="D26" s="27"/>
      <c r="E26" s="27"/>
      <c r="F26" s="27"/>
      <c r="G26" s="27"/>
      <c r="H26" s="27"/>
      <c r="I26" s="31"/>
    </row>
    <row r="27" spans="1:12" x14ac:dyDescent="0.25">
      <c r="A27" s="30"/>
      <c r="B27" s="27"/>
      <c r="C27" s="27"/>
      <c r="D27" s="27"/>
      <c r="E27" s="27"/>
      <c r="F27" s="27"/>
      <c r="G27" s="27"/>
      <c r="H27" s="27"/>
      <c r="I27" s="31"/>
    </row>
    <row r="28" spans="1:12" ht="15.75" thickBot="1" x14ac:dyDescent="0.3">
      <c r="A28" s="33"/>
      <c r="B28" s="33"/>
      <c r="C28" s="33"/>
      <c r="D28" s="33"/>
      <c r="E28" s="33"/>
      <c r="F28" s="33"/>
      <c r="G28" s="33"/>
      <c r="H28" s="33"/>
      <c r="I28" s="34"/>
    </row>
  </sheetData>
  <mergeCells count="1">
    <mergeCell ref="H1:I1"/>
  </mergeCells>
  <conditionalFormatting sqref="B1">
    <cfRule type="cellIs" dxfId="20" priority="1" operator="equal">
      <formula>"Incomplete"</formula>
    </cfRule>
    <cfRule type="cellIs" dxfId="19" priority="2" operator="equal">
      <formula>"Flag for Review"</formula>
    </cfRule>
    <cfRule type="cellIs" dxfId="18"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A60"/>
  <sheetViews>
    <sheetView workbookViewId="0"/>
  </sheetViews>
  <sheetFormatPr defaultColWidth="9.140625" defaultRowHeight="15" x14ac:dyDescent="0.25"/>
  <cols>
    <col min="1" max="1" width="8.7109375" customWidth="1"/>
    <col min="2" max="2" width="16.7109375" customWidth="1"/>
    <col min="3" max="6" width="9.42578125" customWidth="1"/>
    <col min="7" max="11" width="12.42578125" customWidth="1"/>
    <col min="12" max="12" width="9.42578125" customWidth="1"/>
    <col min="13" max="13" width="10.7109375" customWidth="1"/>
  </cols>
  <sheetData>
    <row r="1" spans="1:24" x14ac:dyDescent="0.25">
      <c r="A1" s="7">
        <v>23</v>
      </c>
      <c r="B1" s="41" t="s">
        <v>12</v>
      </c>
      <c r="C1" s="28"/>
      <c r="D1" s="28"/>
      <c r="E1" s="28"/>
      <c r="F1" s="28"/>
      <c r="G1" s="28"/>
      <c r="H1" s="28"/>
      <c r="I1" s="28"/>
      <c r="J1" s="28"/>
      <c r="K1" s="28"/>
      <c r="L1" s="28"/>
      <c r="M1" s="28"/>
      <c r="N1" s="28"/>
      <c r="O1" s="28"/>
      <c r="P1" s="388" t="s">
        <v>30</v>
      </c>
      <c r="Q1" s="390"/>
      <c r="S1" s="29" t="s">
        <v>54</v>
      </c>
      <c r="T1" s="70" t="s">
        <v>1281</v>
      </c>
    </row>
    <row r="2" spans="1:24" x14ac:dyDescent="0.25">
      <c r="A2" s="30"/>
      <c r="B2" s="27"/>
      <c r="C2" s="27"/>
      <c r="D2" s="27"/>
      <c r="E2" s="27"/>
      <c r="F2" s="27"/>
      <c r="G2" s="27"/>
      <c r="H2" s="27"/>
      <c r="I2" s="27"/>
      <c r="J2" s="27"/>
      <c r="K2" s="27"/>
      <c r="L2" s="27"/>
      <c r="M2" s="27"/>
      <c r="N2" s="27"/>
      <c r="O2" s="27"/>
      <c r="P2" s="27"/>
      <c r="Q2" s="31"/>
    </row>
    <row r="3" spans="1:24" x14ac:dyDescent="0.25">
      <c r="A3" s="8" t="s">
        <v>13</v>
      </c>
      <c r="B3" s="36" t="s">
        <v>1361</v>
      </c>
      <c r="C3" s="27"/>
      <c r="D3" s="27"/>
      <c r="E3" s="27"/>
      <c r="F3" s="27"/>
      <c r="G3" s="27"/>
      <c r="H3" s="27"/>
      <c r="I3" s="27"/>
      <c r="J3" s="27"/>
      <c r="K3" s="27"/>
      <c r="L3" s="27"/>
      <c r="M3" s="27"/>
      <c r="N3" s="27"/>
      <c r="O3" s="27"/>
      <c r="P3" s="27"/>
      <c r="Q3" s="31"/>
      <c r="S3" s="1" t="s">
        <v>1300</v>
      </c>
    </row>
    <row r="4" spans="1:24" x14ac:dyDescent="0.25">
      <c r="A4" s="9">
        <f>INDEX('Point Grid'!B:B,MATCH($A$1,'Point Grid'!A:A,0))</f>
        <v>4.5</v>
      </c>
      <c r="B4" s="36"/>
      <c r="C4" s="27"/>
      <c r="D4" s="27"/>
      <c r="E4" s="27"/>
      <c r="F4" s="27"/>
      <c r="G4" s="27"/>
      <c r="H4" s="27"/>
      <c r="I4" s="27"/>
      <c r="J4" s="27"/>
      <c r="K4" s="27"/>
      <c r="L4" s="27"/>
      <c r="M4" s="27"/>
      <c r="N4" s="27"/>
      <c r="O4" s="27"/>
      <c r="P4" s="27"/>
      <c r="Q4" s="31"/>
      <c r="S4" t="s">
        <v>1369</v>
      </c>
      <c r="X4">
        <f>0.25*H5</f>
        <v>112.5</v>
      </c>
    </row>
    <row r="5" spans="1:24" x14ac:dyDescent="0.25">
      <c r="A5" s="9"/>
      <c r="B5" s="36" t="s">
        <v>1351</v>
      </c>
      <c r="C5" s="27"/>
      <c r="D5" s="27"/>
      <c r="E5" s="27"/>
      <c r="F5" s="27"/>
      <c r="G5" s="27"/>
      <c r="H5" s="27">
        <v>450</v>
      </c>
      <c r="I5" s="27"/>
      <c r="J5" s="27"/>
      <c r="K5" s="27"/>
      <c r="L5" s="27"/>
      <c r="M5" s="27"/>
      <c r="N5" s="27"/>
      <c r="O5" s="27"/>
      <c r="P5" s="27"/>
      <c r="Q5" s="31"/>
      <c r="S5" s="376" t="s">
        <v>1370</v>
      </c>
      <c r="X5">
        <f>H10 + H11</f>
        <v>180</v>
      </c>
    </row>
    <row r="6" spans="1:24" x14ac:dyDescent="0.25">
      <c r="A6" s="9"/>
      <c r="B6" s="36" t="s">
        <v>1320</v>
      </c>
      <c r="C6" s="27"/>
      <c r="D6" s="27"/>
      <c r="E6" s="27"/>
      <c r="F6" s="27"/>
      <c r="G6" s="27"/>
      <c r="H6" s="27"/>
      <c r="I6" s="27"/>
      <c r="J6" s="27"/>
      <c r="K6" s="27"/>
      <c r="L6" s="27"/>
      <c r="M6" s="27"/>
      <c r="N6" s="27"/>
      <c r="O6" s="27"/>
      <c r="P6" s="27"/>
      <c r="Q6" s="31"/>
      <c r="S6" t="s">
        <v>1371</v>
      </c>
    </row>
    <row r="7" spans="1:24" x14ac:dyDescent="0.25">
      <c r="A7" s="9"/>
      <c r="B7" s="36" t="s">
        <v>1352</v>
      </c>
      <c r="C7" s="27"/>
      <c r="D7" s="27"/>
      <c r="E7" s="27"/>
      <c r="F7" s="27"/>
      <c r="G7" s="27"/>
      <c r="H7" s="27">
        <v>2800</v>
      </c>
      <c r="I7" s="27"/>
      <c r="J7" s="27"/>
      <c r="K7" s="27"/>
      <c r="L7" s="27"/>
      <c r="M7" s="27"/>
      <c r="N7" s="27"/>
      <c r="O7" s="27"/>
      <c r="P7" s="27"/>
      <c r="Q7" s="31"/>
    </row>
    <row r="8" spans="1:24" x14ac:dyDescent="0.25">
      <c r="A8" s="9"/>
      <c r="B8" s="36" t="s">
        <v>1321</v>
      </c>
      <c r="C8" s="27"/>
      <c r="D8" s="27"/>
      <c r="E8" s="27"/>
      <c r="F8" s="27"/>
      <c r="G8" s="27"/>
      <c r="H8" s="27"/>
      <c r="I8" s="27"/>
      <c r="J8" s="27"/>
      <c r="K8" s="27"/>
      <c r="L8" s="27"/>
      <c r="M8" s="27"/>
      <c r="N8" s="27"/>
      <c r="O8" s="27"/>
      <c r="P8" s="27"/>
      <c r="Q8" s="31"/>
      <c r="S8" s="1" t="s">
        <v>1346</v>
      </c>
    </row>
    <row r="9" spans="1:24" x14ac:dyDescent="0.25">
      <c r="A9" s="9"/>
      <c r="B9" s="36" t="s">
        <v>1353</v>
      </c>
      <c r="C9" s="27"/>
      <c r="D9" s="27"/>
      <c r="E9" s="27"/>
      <c r="F9" s="27"/>
      <c r="G9" s="27"/>
      <c r="H9" s="27">
        <v>180</v>
      </c>
      <c r="I9" s="27"/>
      <c r="J9" s="27"/>
      <c r="K9" s="27"/>
      <c r="L9" s="27"/>
      <c r="M9" s="27"/>
      <c r="N9" s="27"/>
      <c r="O9" s="27"/>
      <c r="P9" s="27"/>
      <c r="Q9" s="31"/>
      <c r="S9" s="359"/>
    </row>
    <row r="10" spans="1:24" x14ac:dyDescent="0.25">
      <c r="A10" s="9"/>
      <c r="B10" s="36" t="s">
        <v>1354</v>
      </c>
      <c r="C10" s="27"/>
      <c r="D10" s="27"/>
      <c r="E10" s="27"/>
      <c r="F10" s="27"/>
      <c r="G10" s="27"/>
      <c r="H10" s="27">
        <v>85</v>
      </c>
      <c r="I10" s="27"/>
      <c r="J10" s="27"/>
      <c r="K10" s="27"/>
      <c r="L10" s="27"/>
      <c r="M10" s="27"/>
      <c r="N10" s="27"/>
      <c r="O10" s="27"/>
      <c r="P10" s="27"/>
      <c r="Q10" s="31"/>
      <c r="S10" s="376" t="s">
        <v>1324</v>
      </c>
    </row>
    <row r="11" spans="1:24" x14ac:dyDescent="0.25">
      <c r="A11" s="9"/>
      <c r="B11" s="36" t="s">
        <v>1355</v>
      </c>
      <c r="C11" s="27"/>
      <c r="D11" s="27"/>
      <c r="E11" s="27"/>
      <c r="F11" s="27"/>
      <c r="G11" s="27"/>
      <c r="H11" s="27">
        <v>95</v>
      </c>
      <c r="I11" s="27"/>
      <c r="J11" s="27"/>
      <c r="K11" s="27"/>
      <c r="L11" s="27"/>
      <c r="M11" s="27"/>
      <c r="N11" s="27"/>
      <c r="O11" s="27"/>
      <c r="P11" s="27"/>
      <c r="Q11" s="31"/>
      <c r="S11" s="376" t="s">
        <v>1325</v>
      </c>
    </row>
    <row r="12" spans="1:24" x14ac:dyDescent="0.25">
      <c r="A12" s="9"/>
      <c r="B12" s="36" t="s">
        <v>1356</v>
      </c>
      <c r="C12" s="27"/>
      <c r="D12" s="27"/>
      <c r="E12" s="27"/>
      <c r="F12" s="384"/>
      <c r="G12" s="384"/>
      <c r="H12" s="27">
        <v>15</v>
      </c>
      <c r="I12" s="27"/>
      <c r="J12" s="27"/>
      <c r="K12" s="27"/>
      <c r="L12" s="27"/>
      <c r="M12" s="27"/>
      <c r="N12" s="27"/>
      <c r="O12" s="27"/>
      <c r="P12" s="27"/>
      <c r="Q12" s="31"/>
      <c r="S12" s="376" t="s">
        <v>1326</v>
      </c>
    </row>
    <row r="13" spans="1:24" x14ac:dyDescent="0.25">
      <c r="A13" s="9"/>
      <c r="B13" s="36" t="s">
        <v>1357</v>
      </c>
      <c r="C13" s="27"/>
      <c r="D13" s="27"/>
      <c r="E13" s="27"/>
      <c r="F13" s="27"/>
      <c r="G13" s="27"/>
      <c r="H13" s="27">
        <v>10</v>
      </c>
      <c r="I13" s="27"/>
      <c r="J13" s="27"/>
      <c r="K13" s="27"/>
      <c r="L13" s="27"/>
      <c r="M13" s="27"/>
      <c r="N13" s="27"/>
      <c r="O13" s="27"/>
      <c r="P13" s="27"/>
      <c r="Q13" s="31"/>
      <c r="S13" s="359"/>
    </row>
    <row r="14" spans="1:24" x14ac:dyDescent="0.25">
      <c r="A14" s="9"/>
      <c r="B14" s="36" t="s">
        <v>1358</v>
      </c>
      <c r="C14" s="27"/>
      <c r="D14" s="27"/>
      <c r="E14" s="27"/>
      <c r="F14" s="27"/>
      <c r="G14" s="27"/>
      <c r="H14" s="27"/>
      <c r="I14" s="27"/>
      <c r="J14" s="27"/>
      <c r="K14" s="27"/>
      <c r="L14" s="27"/>
      <c r="M14" s="27"/>
      <c r="N14" s="27"/>
      <c r="O14" s="27"/>
      <c r="P14" s="27"/>
      <c r="Q14" s="31"/>
      <c r="S14" t="s">
        <v>1327</v>
      </c>
    </row>
    <row r="15" spans="1:24" x14ac:dyDescent="0.25">
      <c r="A15" s="9"/>
      <c r="B15" s="36" t="s">
        <v>1359</v>
      </c>
      <c r="C15" s="27"/>
      <c r="D15" s="27"/>
      <c r="E15" s="27"/>
      <c r="F15" s="52"/>
      <c r="G15" s="52"/>
      <c r="H15" s="52">
        <v>135</v>
      </c>
      <c r="I15" s="52"/>
      <c r="J15" s="52"/>
      <c r="K15" s="52"/>
      <c r="L15" s="27"/>
      <c r="M15" s="27"/>
      <c r="N15" s="27"/>
      <c r="O15" s="27"/>
      <c r="P15" s="27"/>
      <c r="Q15" s="31"/>
      <c r="S15" s="359"/>
    </row>
    <row r="16" spans="1:24" x14ac:dyDescent="0.25">
      <c r="A16" s="9"/>
      <c r="B16" s="36" t="s">
        <v>1365</v>
      </c>
      <c r="C16" s="27"/>
      <c r="D16" s="27"/>
      <c r="E16" s="27"/>
      <c r="F16" s="52"/>
      <c r="G16" s="52"/>
      <c r="H16" s="52">
        <v>45</v>
      </c>
      <c r="I16" s="52"/>
      <c r="J16" s="52"/>
      <c r="K16" s="52"/>
      <c r="L16" s="27"/>
      <c r="M16" s="27"/>
      <c r="N16" s="27"/>
      <c r="O16" s="27"/>
      <c r="P16" s="27"/>
      <c r="Q16" s="31"/>
      <c r="S16" s="376" t="s">
        <v>1328</v>
      </c>
    </row>
    <row r="17" spans="1:26" x14ac:dyDescent="0.25">
      <c r="A17" s="30"/>
      <c r="B17" s="36"/>
      <c r="C17" s="27"/>
      <c r="D17" s="27"/>
      <c r="E17" s="27"/>
      <c r="F17" s="27"/>
      <c r="G17" s="27"/>
      <c r="H17" s="27"/>
      <c r="I17" s="27"/>
      <c r="J17" s="27"/>
      <c r="K17" s="27"/>
      <c r="L17" s="27"/>
      <c r="M17" s="27"/>
      <c r="N17" s="27"/>
      <c r="O17" s="27"/>
      <c r="P17" s="27"/>
      <c r="Q17" s="31"/>
      <c r="S17" s="376" t="s">
        <v>1329</v>
      </c>
    </row>
    <row r="18" spans="1:26" x14ac:dyDescent="0.25">
      <c r="A18" s="35" t="s">
        <v>2</v>
      </c>
      <c r="B18" s="27" t="s">
        <v>1378</v>
      </c>
      <c r="C18" s="27"/>
      <c r="D18" s="27"/>
      <c r="E18" s="27"/>
      <c r="F18" s="27"/>
      <c r="G18" s="27"/>
      <c r="H18" s="27"/>
      <c r="I18" s="27"/>
      <c r="J18" s="27"/>
      <c r="K18" s="27"/>
      <c r="L18" s="27"/>
      <c r="M18" s="27"/>
      <c r="N18" s="27"/>
      <c r="O18" s="27"/>
      <c r="P18" s="27"/>
      <c r="Q18" s="31"/>
      <c r="S18" s="376" t="s">
        <v>1330</v>
      </c>
    </row>
    <row r="19" spans="1:26" ht="15.75" thickBot="1" x14ac:dyDescent="0.3">
      <c r="A19" s="9">
        <f>INDEX('Point Grid'!$C$8:$I$33,MATCH($A$1,'Point Grid'!$A$8:$A$33,0),MATCH(A18,'Point Grid'!$C$7:$I$7,0))</f>
        <v>0.75</v>
      </c>
      <c r="B19" s="27" t="s">
        <v>1360</v>
      </c>
      <c r="C19" s="27"/>
      <c r="D19" s="27"/>
      <c r="E19" s="27"/>
      <c r="F19" s="27"/>
      <c r="G19" s="27"/>
      <c r="H19" s="27"/>
      <c r="I19" s="27"/>
      <c r="J19" s="27"/>
      <c r="K19" s="27"/>
      <c r="L19" s="27"/>
      <c r="M19" s="27"/>
      <c r="N19" s="27"/>
      <c r="O19" s="27"/>
      <c r="P19" s="27"/>
      <c r="Q19" s="31"/>
      <c r="S19" s="376" t="s">
        <v>1331</v>
      </c>
    </row>
    <row r="20" spans="1:26" ht="15.75" thickBot="1" x14ac:dyDescent="0.3">
      <c r="A20" s="5"/>
      <c r="B20" s="27"/>
      <c r="C20" s="27"/>
      <c r="D20" s="27"/>
      <c r="E20" s="27"/>
      <c r="F20" s="27"/>
      <c r="G20" s="27"/>
      <c r="H20" s="27"/>
      <c r="I20" s="27"/>
      <c r="J20" s="27"/>
      <c r="K20" s="27"/>
      <c r="L20" s="27"/>
      <c r="M20" s="27"/>
      <c r="N20" s="27"/>
      <c r="O20" s="27"/>
      <c r="P20" s="27"/>
      <c r="Q20" s="31"/>
    </row>
    <row r="21" spans="1:26" x14ac:dyDescent="0.25">
      <c r="A21" s="30"/>
      <c r="B21" s="27"/>
      <c r="C21" s="27"/>
      <c r="D21" s="27"/>
      <c r="E21" s="27"/>
      <c r="F21" s="27"/>
      <c r="G21" s="27"/>
      <c r="H21" s="27"/>
      <c r="I21" s="27"/>
      <c r="J21" s="27"/>
      <c r="K21" s="27"/>
      <c r="L21" s="27"/>
      <c r="M21" s="27"/>
      <c r="N21" s="27"/>
      <c r="O21" s="27"/>
      <c r="P21" s="27"/>
      <c r="Q21" s="31"/>
      <c r="S21" s="1" t="s">
        <v>1347</v>
      </c>
    </row>
    <row r="22" spans="1:26" x14ac:dyDescent="0.25">
      <c r="A22" s="35" t="s">
        <v>3</v>
      </c>
      <c r="B22" s="27" t="s">
        <v>1372</v>
      </c>
      <c r="C22" s="27"/>
      <c r="D22" s="27"/>
      <c r="E22" s="27"/>
      <c r="F22" s="27"/>
      <c r="G22" s="27"/>
      <c r="H22" s="27"/>
      <c r="I22" s="27"/>
      <c r="J22" s="27"/>
      <c r="K22" s="27"/>
      <c r="L22" s="27"/>
      <c r="M22" s="27"/>
      <c r="N22" s="27"/>
      <c r="O22" s="27"/>
      <c r="P22" s="27"/>
      <c r="Q22" s="31"/>
      <c r="S22" s="359"/>
    </row>
    <row r="23" spans="1:26" ht="15.75" thickBot="1" x14ac:dyDescent="0.3">
      <c r="A23" s="9">
        <f>INDEX('Point Grid'!$C$8:$I$33,MATCH($A$1,'Point Grid'!$A$8:$A$33,0),MATCH(A22,'Point Grid'!$C$7:$I$7,0))</f>
        <v>1</v>
      </c>
      <c r="B23" s="27" t="s">
        <v>1362</v>
      </c>
      <c r="C23" s="27"/>
      <c r="D23" s="27"/>
      <c r="E23" s="27"/>
      <c r="F23" s="27"/>
      <c r="G23" s="27"/>
      <c r="H23" s="27"/>
      <c r="I23" s="27"/>
      <c r="J23" s="27"/>
      <c r="K23" s="27"/>
      <c r="L23" s="27"/>
      <c r="M23" s="27"/>
      <c r="N23" s="27"/>
      <c r="O23" s="27"/>
      <c r="P23" s="27"/>
      <c r="Q23" s="31"/>
      <c r="S23" s="359" t="s">
        <v>1374</v>
      </c>
      <c r="V23" s="102">
        <f>H15 + H16</f>
        <v>180</v>
      </c>
    </row>
    <row r="24" spans="1:26" ht="15.75" thickBot="1" x14ac:dyDescent="0.3">
      <c r="A24" s="5"/>
      <c r="B24" s="36"/>
      <c r="C24" s="36"/>
      <c r="D24" s="36"/>
      <c r="E24" s="36"/>
      <c r="F24" s="36"/>
      <c r="G24" s="36"/>
      <c r="H24" s="36"/>
      <c r="I24" s="36"/>
      <c r="J24" s="36"/>
      <c r="K24" s="36"/>
      <c r="L24" s="27"/>
      <c r="M24" s="27"/>
      <c r="N24" s="27"/>
      <c r="O24" s="27"/>
      <c r="P24" s="27"/>
      <c r="Q24" s="31"/>
      <c r="S24" s="359" t="s">
        <v>1373</v>
      </c>
      <c r="V24">
        <f>0.05*H7</f>
        <v>140</v>
      </c>
    </row>
    <row r="25" spans="1:26" x14ac:dyDescent="0.25">
      <c r="A25" s="36"/>
      <c r="B25" s="27"/>
      <c r="C25" s="27"/>
      <c r="D25" s="27"/>
      <c r="E25" s="27"/>
      <c r="F25" s="27"/>
      <c r="G25" s="27"/>
      <c r="H25" s="27"/>
      <c r="I25" s="27"/>
      <c r="J25" s="27"/>
      <c r="K25" s="27"/>
      <c r="L25" s="27"/>
      <c r="M25" s="27"/>
      <c r="N25" s="27"/>
      <c r="O25" s="27"/>
      <c r="P25" s="27"/>
      <c r="Q25" s="31"/>
      <c r="S25" s="383"/>
    </row>
    <row r="26" spans="1:26" x14ac:dyDescent="0.25">
      <c r="A26" s="35" t="s">
        <v>4</v>
      </c>
      <c r="B26" s="27" t="s">
        <v>1364</v>
      </c>
      <c r="C26" s="27"/>
      <c r="D26" s="27"/>
      <c r="E26" s="27"/>
      <c r="F26" s="27"/>
      <c r="G26" s="27"/>
      <c r="H26" s="27"/>
      <c r="I26" s="27"/>
      <c r="J26" s="27"/>
      <c r="K26" s="27"/>
      <c r="L26" s="27"/>
      <c r="M26" s="27"/>
      <c r="N26" s="27"/>
      <c r="O26" s="27"/>
      <c r="P26" s="27"/>
      <c r="Q26" s="31"/>
      <c r="S26" s="359" t="s">
        <v>1375</v>
      </c>
    </row>
    <row r="27" spans="1:26" ht="15.75" thickBot="1" x14ac:dyDescent="0.3">
      <c r="A27" s="9">
        <f>INDEX('Point Grid'!$C$8:$I$33,MATCH($A$1,'Point Grid'!$A$8:$A$33,0),MATCH(A26,'Point Grid'!$C$7:$I$7,0))</f>
        <v>1</v>
      </c>
      <c r="B27" s="27" t="s">
        <v>1363</v>
      </c>
      <c r="C27" s="27"/>
      <c r="D27" s="27"/>
      <c r="E27" s="27"/>
      <c r="F27" s="27"/>
      <c r="G27" s="27"/>
      <c r="H27" s="27"/>
      <c r="I27" s="27"/>
      <c r="J27" s="27"/>
      <c r="K27" s="27"/>
      <c r="L27" s="27"/>
      <c r="M27" s="27"/>
      <c r="N27" s="27"/>
      <c r="O27" s="27"/>
      <c r="P27" s="27"/>
      <c r="Q27" s="31"/>
    </row>
    <row r="28" spans="1:26" ht="15.75" thickBot="1" x14ac:dyDescent="0.3">
      <c r="A28" s="5"/>
      <c r="B28" s="27"/>
      <c r="C28" s="27"/>
      <c r="D28" s="27"/>
      <c r="E28" s="27"/>
      <c r="F28" s="27"/>
      <c r="G28" s="27"/>
      <c r="H28" s="27"/>
      <c r="I28" s="27"/>
      <c r="J28" s="27"/>
      <c r="K28" s="27"/>
      <c r="L28" s="27"/>
      <c r="M28" s="27"/>
      <c r="N28" s="27"/>
      <c r="O28" s="27"/>
      <c r="P28" s="27"/>
      <c r="Q28" s="31"/>
      <c r="S28" t="s">
        <v>1332</v>
      </c>
    </row>
    <row r="29" spans="1:26" x14ac:dyDescent="0.25">
      <c r="A29" s="30"/>
      <c r="B29" s="27"/>
      <c r="C29" s="27"/>
      <c r="D29" s="27"/>
      <c r="E29" s="27"/>
      <c r="F29" s="27"/>
      <c r="G29" s="27"/>
      <c r="H29" s="27"/>
      <c r="I29" s="27"/>
      <c r="J29" s="27"/>
      <c r="K29" s="27"/>
      <c r="L29" s="27"/>
      <c r="M29" s="27"/>
      <c r="N29" s="27"/>
      <c r="O29" s="27"/>
      <c r="P29" s="27"/>
      <c r="Q29" s="31"/>
      <c r="S29" s="359"/>
    </row>
    <row r="30" spans="1:26" x14ac:dyDescent="0.25">
      <c r="A30" s="35" t="s">
        <v>5</v>
      </c>
      <c r="B30" s="27" t="s">
        <v>1366</v>
      </c>
      <c r="C30" s="27"/>
      <c r="D30" s="27"/>
      <c r="E30" s="27"/>
      <c r="F30" s="27"/>
      <c r="G30" s="27"/>
      <c r="H30" s="27"/>
      <c r="I30" s="27"/>
      <c r="J30" s="27"/>
      <c r="K30" s="27"/>
      <c r="L30" s="27"/>
      <c r="M30" s="27"/>
      <c r="N30" s="27"/>
      <c r="O30" s="27"/>
      <c r="P30" s="27"/>
      <c r="Q30" s="31"/>
      <c r="S30" s="359" t="s">
        <v>1333</v>
      </c>
      <c r="Z30" s="1"/>
    </row>
    <row r="31" spans="1:26" ht="15.75" thickBot="1" x14ac:dyDescent="0.3">
      <c r="A31" s="9">
        <f>INDEX('Point Grid'!$C$8:$I$33,MATCH($A$1,'Point Grid'!$A$8:$A$33,0),MATCH(A30,'Point Grid'!$C$7:$I$7,0))</f>
        <v>0.75</v>
      </c>
      <c r="B31" s="27" t="s">
        <v>1322</v>
      </c>
      <c r="C31" s="27"/>
      <c r="D31" s="27"/>
      <c r="E31" s="27"/>
      <c r="F31" s="27"/>
      <c r="G31" s="27"/>
      <c r="H31" s="27"/>
      <c r="I31" s="27"/>
      <c r="J31" s="27"/>
      <c r="K31" s="27"/>
      <c r="L31" s="27"/>
      <c r="M31" s="27"/>
      <c r="N31" s="27"/>
      <c r="O31" s="27"/>
      <c r="P31" s="27"/>
      <c r="Q31" s="31"/>
      <c r="S31" s="359" t="s">
        <v>1334</v>
      </c>
    </row>
    <row r="32" spans="1:26" ht="15.75" thickBot="1" x14ac:dyDescent="0.3">
      <c r="A32" s="5"/>
      <c r="B32" s="27" t="s">
        <v>1323</v>
      </c>
      <c r="C32" s="27"/>
      <c r="D32" s="27"/>
      <c r="E32" s="27"/>
      <c r="F32" s="27"/>
      <c r="G32" s="27"/>
      <c r="H32" s="27"/>
      <c r="I32" s="27"/>
      <c r="J32" s="27"/>
      <c r="K32" s="27"/>
      <c r="L32" s="27"/>
      <c r="M32" s="27"/>
      <c r="N32" s="27"/>
      <c r="O32" s="27"/>
      <c r="P32" s="27"/>
      <c r="Q32" s="31"/>
      <c r="S32" s="359" t="s">
        <v>1335</v>
      </c>
    </row>
    <row r="33" spans="1:27" x14ac:dyDescent="0.25">
      <c r="A33" s="30"/>
      <c r="B33" s="27"/>
      <c r="C33" s="27"/>
      <c r="D33" s="27"/>
      <c r="E33" s="27"/>
      <c r="F33" s="27"/>
      <c r="G33" s="27"/>
      <c r="H33" s="27"/>
      <c r="I33" s="27"/>
      <c r="J33" s="27"/>
      <c r="K33" s="27"/>
      <c r="L33" s="27"/>
      <c r="M33" s="27"/>
      <c r="N33" s="27"/>
      <c r="O33" s="27"/>
      <c r="P33" s="27"/>
      <c r="Q33" s="31"/>
      <c r="S33" s="359" t="s">
        <v>1336</v>
      </c>
    </row>
    <row r="34" spans="1:27" x14ac:dyDescent="0.25">
      <c r="A34" s="35" t="s">
        <v>6</v>
      </c>
      <c r="B34" s="27" t="s">
        <v>1367</v>
      </c>
      <c r="C34" s="27"/>
      <c r="D34" s="27"/>
      <c r="E34" s="27"/>
      <c r="F34" s="27"/>
      <c r="G34" s="27"/>
      <c r="H34" s="27"/>
      <c r="I34" s="27"/>
      <c r="J34" s="27"/>
      <c r="K34" s="27"/>
      <c r="L34" s="27"/>
      <c r="M34" s="27"/>
      <c r="N34" s="27"/>
      <c r="O34" s="27"/>
      <c r="P34" s="27"/>
      <c r="Q34" s="31"/>
    </row>
    <row r="35" spans="1:27" ht="15.75" thickBot="1" x14ac:dyDescent="0.3">
      <c r="A35" s="9">
        <f>INDEX('Point Grid'!$C$8:$I$33,MATCH($A$1,'Point Grid'!$A$8:$A$33,0),MATCH(A34,'Point Grid'!$C$7:$I$7,0))</f>
        <v>1</v>
      </c>
      <c r="B35" s="27" t="s">
        <v>1368</v>
      </c>
      <c r="C35" s="27"/>
      <c r="D35" s="27"/>
      <c r="E35" s="27"/>
      <c r="F35" s="27"/>
      <c r="G35" s="27"/>
      <c r="H35" s="27"/>
      <c r="I35" s="27"/>
      <c r="J35" s="27"/>
      <c r="K35" s="27"/>
      <c r="L35" s="27"/>
      <c r="M35" s="27"/>
      <c r="N35" s="27"/>
      <c r="O35" s="27"/>
      <c r="P35" s="27"/>
      <c r="Q35" s="31"/>
      <c r="S35" s="1" t="s">
        <v>1376</v>
      </c>
    </row>
    <row r="36" spans="1:27" ht="15.75" thickBot="1" x14ac:dyDescent="0.3">
      <c r="A36" s="5"/>
      <c r="B36" s="27"/>
      <c r="C36" s="27"/>
      <c r="D36" s="27"/>
      <c r="E36" s="27"/>
      <c r="F36" s="27"/>
      <c r="G36" s="27"/>
      <c r="H36" s="27"/>
      <c r="I36" s="27"/>
      <c r="J36" s="27"/>
      <c r="K36" s="27"/>
      <c r="L36" s="27"/>
      <c r="M36" s="27"/>
      <c r="N36" s="27"/>
      <c r="O36" s="27"/>
      <c r="P36" s="27"/>
      <c r="Q36" s="31"/>
      <c r="S36" t="s">
        <v>1377</v>
      </c>
      <c r="AA36">
        <f xml:space="preserve"> H11 -H12-H13</f>
        <v>70</v>
      </c>
    </row>
    <row r="37" spans="1:27" x14ac:dyDescent="0.25">
      <c r="A37" s="30"/>
      <c r="B37" s="27"/>
      <c r="C37" s="27"/>
      <c r="D37" s="27"/>
      <c r="E37" s="27"/>
      <c r="F37" s="27"/>
      <c r="G37" s="27"/>
      <c r="H37" s="27"/>
      <c r="I37" s="27"/>
      <c r="J37" s="27"/>
      <c r="K37" s="27"/>
      <c r="L37" s="27"/>
      <c r="M37" s="27"/>
      <c r="N37" s="27"/>
      <c r="O37" s="27"/>
      <c r="P37" s="27"/>
      <c r="Q37" s="31"/>
    </row>
    <row r="38" spans="1:27" ht="15.75" thickBot="1" x14ac:dyDescent="0.3">
      <c r="A38" s="32"/>
      <c r="B38" s="33"/>
      <c r="C38" s="33"/>
      <c r="D38" s="33"/>
      <c r="E38" s="33"/>
      <c r="F38" s="33"/>
      <c r="G38" s="33"/>
      <c r="H38" s="33"/>
      <c r="I38" s="33"/>
      <c r="J38" s="33"/>
      <c r="K38" s="33"/>
      <c r="L38" s="33"/>
      <c r="M38" s="33"/>
      <c r="N38" s="33"/>
      <c r="O38" s="33"/>
      <c r="P38" s="33"/>
      <c r="Q38" s="34"/>
      <c r="S38" t="s">
        <v>1337</v>
      </c>
    </row>
    <row r="39" spans="1:27" x14ac:dyDescent="0.25">
      <c r="S39" s="359"/>
      <c r="Z39" s="359"/>
    </row>
    <row r="40" spans="1:27" x14ac:dyDescent="0.25">
      <c r="S40" s="359" t="s">
        <v>1338</v>
      </c>
      <c r="Z40" s="359"/>
    </row>
    <row r="41" spans="1:27" x14ac:dyDescent="0.25">
      <c r="S41" s="359" t="s">
        <v>1339</v>
      </c>
      <c r="Z41" s="359"/>
    </row>
    <row r="42" spans="1:27" x14ac:dyDescent="0.25">
      <c r="S42" s="359" t="s">
        <v>1340</v>
      </c>
    </row>
    <row r="44" spans="1:27" x14ac:dyDescent="0.25">
      <c r="S44" s="1" t="s">
        <v>1348</v>
      </c>
    </row>
    <row r="45" spans="1:27" x14ac:dyDescent="0.25">
      <c r="S45" s="359"/>
      <c r="Y45" s="1"/>
    </row>
    <row r="46" spans="1:27" x14ac:dyDescent="0.25">
      <c r="S46" s="386" t="s">
        <v>1349</v>
      </c>
      <c r="Y46" s="359"/>
    </row>
    <row r="47" spans="1:27" x14ac:dyDescent="0.25">
      <c r="S47" s="376" t="s">
        <v>1341</v>
      </c>
      <c r="Y47" s="359"/>
      <c r="Z47" s="1"/>
    </row>
    <row r="48" spans="1:27" x14ac:dyDescent="0.25">
      <c r="S48" s="376" t="s">
        <v>1342</v>
      </c>
      <c r="Y48" s="359"/>
    </row>
    <row r="49" spans="19:25" x14ac:dyDescent="0.25">
      <c r="S49" s="386" t="s">
        <v>1350</v>
      </c>
      <c r="Y49" s="359"/>
    </row>
    <row r="50" spans="19:25" x14ac:dyDescent="0.25">
      <c r="S50" s="376" t="s">
        <v>1343</v>
      </c>
      <c r="Y50" s="359"/>
    </row>
    <row r="51" spans="19:25" x14ac:dyDescent="0.25">
      <c r="S51" s="376" t="s">
        <v>1344</v>
      </c>
      <c r="Y51" s="385"/>
    </row>
    <row r="52" spans="19:25" x14ac:dyDescent="0.25">
      <c r="Y52" s="385"/>
    </row>
    <row r="53" spans="19:25" x14ac:dyDescent="0.25">
      <c r="S53" t="s">
        <v>1345</v>
      </c>
      <c r="Y53" s="385"/>
    </row>
    <row r="54" spans="19:25" x14ac:dyDescent="0.25">
      <c r="Y54" s="385"/>
    </row>
    <row r="55" spans="19:25" x14ac:dyDescent="0.25">
      <c r="Y55" s="385"/>
    </row>
    <row r="58" spans="19:25" x14ac:dyDescent="0.25">
      <c r="Y58" s="359"/>
    </row>
    <row r="59" spans="19:25" x14ac:dyDescent="0.25">
      <c r="Y59" s="359"/>
    </row>
    <row r="60" spans="19:25" x14ac:dyDescent="0.25">
      <c r="Y60" s="359"/>
    </row>
  </sheetData>
  <mergeCells count="1">
    <mergeCell ref="P1:Q1"/>
  </mergeCells>
  <conditionalFormatting sqref="B1">
    <cfRule type="cellIs" dxfId="17" priority="1" operator="equal">
      <formula>"Incomplete"</formula>
    </cfRule>
    <cfRule type="cellIs" dxfId="16" priority="2" operator="equal">
      <formula>"Flag for Review"</formula>
    </cfRule>
    <cfRule type="cellIs" dxfId="15"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E49"/>
  <sheetViews>
    <sheetView workbookViewId="0"/>
  </sheetViews>
  <sheetFormatPr defaultColWidth="9.140625" defaultRowHeight="15" x14ac:dyDescent="0.25"/>
  <cols>
    <col min="1" max="1" width="8.7109375" customWidth="1"/>
    <col min="2" max="2" width="16.7109375" customWidth="1"/>
    <col min="3" max="14" width="9.42578125" customWidth="1"/>
    <col min="15" max="15" width="10.7109375" customWidth="1"/>
  </cols>
  <sheetData>
    <row r="1" spans="1:31" x14ac:dyDescent="0.25">
      <c r="A1" s="7">
        <v>24</v>
      </c>
      <c r="B1" s="41" t="s">
        <v>12</v>
      </c>
      <c r="C1" s="28"/>
      <c r="D1" s="28"/>
      <c r="E1" s="28"/>
      <c r="F1" s="28"/>
      <c r="G1" s="28"/>
      <c r="H1" s="28"/>
      <c r="I1" s="28"/>
      <c r="J1" s="28"/>
      <c r="K1" s="28"/>
      <c r="L1" s="28"/>
      <c r="M1" s="388" t="s">
        <v>30</v>
      </c>
      <c r="N1" s="390"/>
      <c r="P1" s="29" t="s">
        <v>54</v>
      </c>
      <c r="Q1" s="70" t="s">
        <v>1280</v>
      </c>
    </row>
    <row r="2" spans="1:31" x14ac:dyDescent="0.25">
      <c r="A2" s="30"/>
      <c r="B2" s="27"/>
      <c r="C2" s="27"/>
      <c r="D2" s="27"/>
      <c r="E2" s="27"/>
      <c r="F2" s="27"/>
      <c r="G2" s="27"/>
      <c r="H2" s="27"/>
      <c r="I2" s="27"/>
      <c r="J2" s="27"/>
      <c r="K2" s="27"/>
      <c r="L2" s="27"/>
      <c r="M2" s="27"/>
      <c r="N2" s="31"/>
    </row>
    <row r="3" spans="1:31" x14ac:dyDescent="0.25">
      <c r="A3" s="8" t="s">
        <v>13</v>
      </c>
      <c r="B3" s="36" t="s">
        <v>1308</v>
      </c>
      <c r="C3" s="27"/>
      <c r="D3" s="27"/>
      <c r="E3" s="27"/>
      <c r="F3" s="27"/>
      <c r="G3" s="27"/>
      <c r="H3" s="27"/>
      <c r="I3" s="27"/>
      <c r="J3" s="27"/>
      <c r="K3" s="27"/>
      <c r="L3" s="27"/>
      <c r="M3" s="27"/>
      <c r="N3" s="31"/>
      <c r="P3" s="1" t="s">
        <v>1255</v>
      </c>
    </row>
    <row r="4" spans="1:31" x14ac:dyDescent="0.25">
      <c r="A4" s="9">
        <f>INDEX('Point Grid'!B:B,MATCH($A$1,'Point Grid'!A:A,0))</f>
        <v>3.75</v>
      </c>
      <c r="B4" s="36" t="s">
        <v>1307</v>
      </c>
      <c r="C4" s="27"/>
      <c r="D4" s="27"/>
      <c r="E4" s="27"/>
      <c r="F4" s="27"/>
      <c r="G4" s="27"/>
      <c r="H4" s="27"/>
      <c r="I4" s="27"/>
      <c r="J4" s="27"/>
      <c r="K4" s="27"/>
      <c r="L4" s="27"/>
      <c r="M4" s="27"/>
      <c r="N4" s="31"/>
      <c r="P4" s="359"/>
    </row>
    <row r="5" spans="1:31" x14ac:dyDescent="0.25">
      <c r="A5" s="9"/>
      <c r="B5" s="36"/>
      <c r="C5" s="27"/>
      <c r="D5" s="27"/>
      <c r="E5" s="27"/>
      <c r="F5" s="27"/>
      <c r="G5" s="27"/>
      <c r="H5" s="27"/>
      <c r="I5" s="27"/>
      <c r="J5" s="27"/>
      <c r="K5" s="27"/>
      <c r="L5" s="27"/>
      <c r="M5" s="27"/>
      <c r="N5" s="31"/>
      <c r="P5" s="376" t="s">
        <v>1256</v>
      </c>
    </row>
    <row r="6" spans="1:31" x14ac:dyDescent="0.25">
      <c r="A6" s="9"/>
      <c r="B6" s="36" t="s">
        <v>1309</v>
      </c>
      <c r="C6" s="27"/>
      <c r="D6" s="27"/>
      <c r="E6" s="27"/>
      <c r="F6" s="27">
        <v>200</v>
      </c>
      <c r="G6" s="27"/>
      <c r="H6" s="27"/>
      <c r="I6" s="27"/>
      <c r="J6" s="27"/>
      <c r="K6" s="27"/>
      <c r="L6" s="27"/>
      <c r="M6" s="27"/>
      <c r="N6" s="31"/>
      <c r="P6" s="376" t="s">
        <v>1257</v>
      </c>
    </row>
    <row r="7" spans="1:31" x14ac:dyDescent="0.25">
      <c r="A7" s="9"/>
      <c r="B7" s="36" t="s">
        <v>1250</v>
      </c>
      <c r="C7" s="27"/>
      <c r="D7" s="27"/>
      <c r="E7" s="27"/>
      <c r="F7" s="384">
        <v>0.8</v>
      </c>
      <c r="G7" s="384"/>
      <c r="H7" s="384"/>
      <c r="I7" s="27"/>
      <c r="J7" s="27"/>
      <c r="K7" s="27"/>
      <c r="L7" s="27"/>
      <c r="M7" s="27"/>
      <c r="N7" s="31"/>
      <c r="P7" s="376" t="s">
        <v>1258</v>
      </c>
    </row>
    <row r="8" spans="1:31" x14ac:dyDescent="0.25">
      <c r="A8" s="9"/>
      <c r="B8" s="36" t="s">
        <v>1310</v>
      </c>
      <c r="C8" s="27"/>
      <c r="D8" s="27"/>
      <c r="E8" s="27"/>
      <c r="F8" s="27">
        <v>450</v>
      </c>
      <c r="G8" s="27"/>
      <c r="H8" s="27"/>
      <c r="I8" s="27"/>
      <c r="J8" s="27"/>
      <c r="K8" s="27"/>
      <c r="L8" s="27"/>
      <c r="M8" s="27"/>
      <c r="N8" s="31"/>
      <c r="P8" s="376" t="s">
        <v>1259</v>
      </c>
    </row>
    <row r="9" spans="1:31" x14ac:dyDescent="0.25">
      <c r="A9" s="9"/>
      <c r="B9" s="36" t="s">
        <v>1311</v>
      </c>
      <c r="C9" s="27"/>
      <c r="D9" s="27"/>
      <c r="E9" s="27"/>
      <c r="F9" s="27">
        <v>0.35</v>
      </c>
      <c r="G9" s="27"/>
      <c r="H9" s="27"/>
      <c r="I9" s="27"/>
      <c r="J9" s="27"/>
      <c r="K9" s="27"/>
      <c r="L9" s="27"/>
      <c r="M9" s="27"/>
      <c r="N9" s="31"/>
      <c r="P9" s="376" t="s">
        <v>1260</v>
      </c>
    </row>
    <row r="10" spans="1:31" x14ac:dyDescent="0.25">
      <c r="A10" s="9"/>
      <c r="B10" s="36" t="s">
        <v>1312</v>
      </c>
      <c r="C10" s="27"/>
      <c r="D10" s="27"/>
      <c r="E10" s="27"/>
      <c r="F10" s="52">
        <v>70000</v>
      </c>
      <c r="G10" s="52"/>
      <c r="H10" s="52"/>
      <c r="I10" s="27"/>
      <c r="J10" s="27"/>
      <c r="K10" s="27"/>
      <c r="L10" s="27"/>
      <c r="M10" s="27"/>
      <c r="N10" s="31"/>
      <c r="P10" s="376" t="s">
        <v>1261</v>
      </c>
    </row>
    <row r="11" spans="1:31" ht="15" customHeight="1" x14ac:dyDescent="0.25">
      <c r="A11" s="30"/>
      <c r="B11" s="36"/>
      <c r="C11" s="27"/>
      <c r="D11" s="27"/>
      <c r="E11" s="27"/>
      <c r="F11" s="27"/>
      <c r="G11" s="27"/>
      <c r="H11" s="27"/>
      <c r="I11" s="27"/>
      <c r="J11" s="27"/>
      <c r="K11" s="27"/>
      <c r="L11" s="27"/>
      <c r="M11" s="27"/>
      <c r="N11" s="31"/>
    </row>
    <row r="12" spans="1:31" ht="15" customHeight="1" x14ac:dyDescent="0.25">
      <c r="A12" s="35" t="s">
        <v>2</v>
      </c>
      <c r="B12" s="27" t="s">
        <v>1316</v>
      </c>
      <c r="C12" s="27"/>
      <c r="D12" s="27"/>
      <c r="E12" s="27"/>
      <c r="F12" s="27"/>
      <c r="G12" s="27"/>
      <c r="H12" s="27"/>
      <c r="I12" s="27"/>
      <c r="J12" s="27"/>
      <c r="K12" s="27"/>
      <c r="L12" s="27"/>
      <c r="M12" s="27"/>
      <c r="N12" s="31"/>
      <c r="P12" s="1" t="s">
        <v>1262</v>
      </c>
    </row>
    <row r="13" spans="1:31" ht="15" customHeight="1" thickBot="1" x14ac:dyDescent="0.3">
      <c r="A13" s="9">
        <f>INDEX('Point Grid'!$C$8:$I$33,MATCH($A$1,'Point Grid'!$A$8:$A$33,0),MATCH(A12,'Point Grid'!$C$7:$I$7,0))</f>
        <v>0.5</v>
      </c>
      <c r="B13" s="27"/>
      <c r="C13" s="27"/>
      <c r="D13" s="27"/>
      <c r="E13" s="27"/>
      <c r="F13" s="27"/>
      <c r="G13" s="27"/>
      <c r="H13" s="27"/>
      <c r="I13" s="27"/>
      <c r="J13" s="27"/>
      <c r="K13" s="27"/>
      <c r="L13" s="27"/>
      <c r="M13" s="27"/>
      <c r="N13" s="31"/>
      <c r="P13" s="359"/>
    </row>
    <row r="14" spans="1:31" ht="15" customHeight="1" thickBot="1" x14ac:dyDescent="0.3">
      <c r="A14" s="5"/>
      <c r="B14" s="27"/>
      <c r="C14" s="27"/>
      <c r="D14" s="27"/>
      <c r="E14" s="27"/>
      <c r="F14" s="27"/>
      <c r="G14" s="27"/>
      <c r="H14" s="27"/>
      <c r="I14" s="27"/>
      <c r="J14" s="27"/>
      <c r="K14" s="27"/>
      <c r="L14" s="27"/>
      <c r="M14" s="27"/>
      <c r="N14" s="31"/>
      <c r="P14" s="376" t="s">
        <v>1317</v>
      </c>
      <c r="S14">
        <f>F6*F8*F7</f>
        <v>72000</v>
      </c>
      <c r="Z14" s="359"/>
      <c r="AE14" s="359"/>
    </row>
    <row r="15" spans="1:31" ht="15" customHeight="1" x14ac:dyDescent="0.25">
      <c r="A15" s="30"/>
      <c r="B15" s="27"/>
      <c r="C15" s="27"/>
      <c r="D15" s="27"/>
      <c r="E15" s="27"/>
      <c r="F15" s="27"/>
      <c r="G15" s="27"/>
      <c r="H15" s="27"/>
      <c r="I15" s="27"/>
      <c r="J15" s="27"/>
      <c r="K15" s="27"/>
      <c r="L15" s="27"/>
      <c r="M15" s="27"/>
      <c r="N15" s="31"/>
      <c r="P15" t="s">
        <v>1318</v>
      </c>
      <c r="S15" s="102">
        <f xml:space="preserve"> MAX(S14-F10)*F9</f>
        <v>700</v>
      </c>
      <c r="Z15" s="359"/>
      <c r="AE15" s="359"/>
    </row>
    <row r="16" spans="1:31" ht="15" customHeight="1" x14ac:dyDescent="0.25">
      <c r="A16" s="35" t="s">
        <v>3</v>
      </c>
      <c r="B16" s="27" t="s">
        <v>1313</v>
      </c>
      <c r="C16" s="27"/>
      <c r="D16" s="27"/>
      <c r="E16" s="27"/>
      <c r="F16" s="27"/>
      <c r="G16" s="27"/>
      <c r="H16" s="27"/>
      <c r="I16" s="27"/>
      <c r="J16" s="27"/>
      <c r="K16" s="27"/>
      <c r="L16" s="27"/>
      <c r="M16" s="27"/>
      <c r="N16" s="31"/>
      <c r="Z16" s="359"/>
      <c r="AE16" s="359"/>
    </row>
    <row r="17" spans="1:31" ht="15" customHeight="1" thickBot="1" x14ac:dyDescent="0.3">
      <c r="A17" s="9">
        <f>INDEX('Point Grid'!$C$8:$I$33,MATCH($A$1,'Point Grid'!$A$8:$A$33,0),MATCH(A16,'Point Grid'!$C$7:$I$7,0))</f>
        <v>0.5</v>
      </c>
      <c r="B17" s="27"/>
      <c r="C17" s="27"/>
      <c r="D17" s="27"/>
      <c r="E17" s="27"/>
      <c r="F17" s="27"/>
      <c r="G17" s="27"/>
      <c r="H17" s="27"/>
      <c r="I17" s="27"/>
      <c r="J17" s="27"/>
      <c r="K17" s="27"/>
      <c r="L17" s="27"/>
      <c r="M17" s="27"/>
      <c r="N17" s="31"/>
      <c r="P17" s="1" t="s">
        <v>1263</v>
      </c>
      <c r="Z17" s="359"/>
      <c r="AE17" s="359"/>
    </row>
    <row r="18" spans="1:31" ht="15" customHeight="1" thickBot="1" x14ac:dyDescent="0.3">
      <c r="A18" s="5"/>
      <c r="B18" s="36"/>
      <c r="C18" s="36"/>
      <c r="D18" s="36"/>
      <c r="E18" s="36"/>
      <c r="F18" s="36"/>
      <c r="G18" s="36"/>
      <c r="H18" s="36"/>
      <c r="I18" s="27"/>
      <c r="J18" s="27"/>
      <c r="K18" s="27"/>
      <c r="L18" s="27"/>
      <c r="M18" s="27"/>
      <c r="N18" s="31"/>
      <c r="AE18" s="359"/>
    </row>
    <row r="19" spans="1:31" ht="14.25" customHeight="1" x14ac:dyDescent="0.25">
      <c r="A19" s="36"/>
      <c r="B19" s="27"/>
      <c r="C19" s="27"/>
      <c r="D19" s="27"/>
      <c r="E19" s="27"/>
      <c r="F19" s="27"/>
      <c r="G19" s="27"/>
      <c r="H19" s="27"/>
      <c r="I19" s="27"/>
      <c r="J19" s="27"/>
      <c r="K19" s="27"/>
      <c r="L19" s="27"/>
      <c r="M19" s="27"/>
      <c r="N19" s="31"/>
      <c r="P19" t="s">
        <v>1264</v>
      </c>
    </row>
    <row r="20" spans="1:31" ht="15" customHeight="1" x14ac:dyDescent="0.25">
      <c r="A20" s="35" t="s">
        <v>4</v>
      </c>
      <c r="B20" s="27" t="s">
        <v>1315</v>
      </c>
      <c r="C20" s="27"/>
      <c r="D20" s="27"/>
      <c r="E20" s="27"/>
      <c r="F20" s="27"/>
      <c r="G20" s="27"/>
      <c r="H20" s="27"/>
      <c r="I20" s="27"/>
      <c r="J20" s="27"/>
      <c r="K20" s="27"/>
      <c r="L20" s="27"/>
      <c r="M20" s="27"/>
      <c r="N20" s="31"/>
      <c r="P20" s="359"/>
    </row>
    <row r="21" spans="1:31" ht="15" customHeight="1" thickBot="1" x14ac:dyDescent="0.3">
      <c r="A21" s="9">
        <f>INDEX('Point Grid'!$C$8:$I$33,MATCH($A$1,'Point Grid'!$A$8:$A$33,0),MATCH(A20,'Point Grid'!$C$7:$I$7,0))</f>
        <v>1</v>
      </c>
      <c r="B21" s="27"/>
      <c r="C21" s="27"/>
      <c r="D21" s="27"/>
      <c r="E21" s="27"/>
      <c r="F21" s="27"/>
      <c r="G21" s="27"/>
      <c r="H21" s="27"/>
      <c r="I21" s="27"/>
      <c r="J21" s="27"/>
      <c r="K21" s="27"/>
      <c r="L21" s="27"/>
      <c r="M21" s="27"/>
      <c r="N21" s="31"/>
      <c r="P21" s="376" t="s">
        <v>1265</v>
      </c>
    </row>
    <row r="22" spans="1:31" ht="15" customHeight="1" thickBot="1" x14ac:dyDescent="0.3">
      <c r="A22" s="5"/>
      <c r="B22" s="27" t="s">
        <v>1251</v>
      </c>
      <c r="C22" s="27"/>
      <c r="D22" s="27"/>
      <c r="E22" s="27"/>
      <c r="F22" s="27"/>
      <c r="G22" s="27"/>
      <c r="H22" s="27"/>
      <c r="I22" s="27"/>
      <c r="J22" s="27"/>
      <c r="K22" s="27"/>
      <c r="L22" s="27"/>
      <c r="M22" s="27"/>
      <c r="N22" s="31"/>
      <c r="P22" s="376" t="s">
        <v>1266</v>
      </c>
    </row>
    <row r="23" spans="1:31" ht="15" customHeight="1" x14ac:dyDescent="0.25">
      <c r="A23" s="30"/>
      <c r="B23" s="27" t="s">
        <v>1252</v>
      </c>
      <c r="C23" s="27"/>
      <c r="D23" s="27"/>
      <c r="E23" s="27"/>
      <c r="F23" s="27"/>
      <c r="G23" s="27"/>
      <c r="H23" s="27"/>
      <c r="I23" s="27"/>
      <c r="J23" s="27"/>
      <c r="K23" s="27"/>
      <c r="L23" s="27"/>
      <c r="M23" s="27"/>
      <c r="N23" s="31"/>
      <c r="P23" s="376" t="s">
        <v>1267</v>
      </c>
    </row>
    <row r="24" spans="1:31" ht="15" customHeight="1" x14ac:dyDescent="0.25">
      <c r="A24" s="30"/>
      <c r="B24" s="27"/>
      <c r="C24" s="27"/>
      <c r="D24" s="27"/>
      <c r="E24" s="27"/>
      <c r="F24" s="27"/>
      <c r="G24" s="27"/>
      <c r="H24" s="27"/>
      <c r="I24" s="27"/>
      <c r="J24" s="27"/>
      <c r="K24" s="27"/>
      <c r="L24" s="27"/>
      <c r="M24" s="27"/>
      <c r="N24" s="31"/>
      <c r="P24" s="376" t="s">
        <v>1268</v>
      </c>
    </row>
    <row r="25" spans="1:31" ht="15" customHeight="1" x14ac:dyDescent="0.25">
      <c r="A25" s="35" t="s">
        <v>5</v>
      </c>
      <c r="B25" s="27" t="s">
        <v>1314</v>
      </c>
      <c r="C25" s="27"/>
      <c r="D25" s="27"/>
      <c r="E25" s="27"/>
      <c r="F25" s="27"/>
      <c r="G25" s="27"/>
      <c r="H25" s="27"/>
      <c r="I25" s="27"/>
      <c r="J25" s="27"/>
      <c r="K25" s="27"/>
      <c r="L25" s="27"/>
      <c r="M25" s="27"/>
      <c r="N25" s="31"/>
      <c r="P25" s="376" t="s">
        <v>1269</v>
      </c>
      <c r="AE25" s="359"/>
    </row>
    <row r="26" spans="1:31" ht="15" customHeight="1" thickBot="1" x14ac:dyDescent="0.3">
      <c r="A26" s="9">
        <f>INDEX('Point Grid'!$C$8:$I$33,MATCH($A$1,'Point Grid'!$A$8:$A$33,0),MATCH(A25,'Point Grid'!$C$7:$I$7,0))</f>
        <v>1</v>
      </c>
      <c r="B26" s="27"/>
      <c r="C26" s="27"/>
      <c r="D26" s="27"/>
      <c r="E26" s="27"/>
      <c r="F26" s="27"/>
      <c r="G26" s="27"/>
      <c r="H26" s="27"/>
      <c r="I26" s="27"/>
      <c r="J26" s="27"/>
      <c r="K26" s="27"/>
      <c r="L26" s="27"/>
      <c r="M26" s="27"/>
      <c r="N26" s="31"/>
      <c r="P26" s="376" t="s">
        <v>1270</v>
      </c>
      <c r="AE26" s="359"/>
    </row>
    <row r="27" spans="1:31" ht="15" customHeight="1" thickBot="1" x14ac:dyDescent="0.3">
      <c r="A27" s="5"/>
      <c r="B27" s="27"/>
      <c r="C27" s="27"/>
      <c r="D27" s="27"/>
      <c r="E27" s="27"/>
      <c r="F27" s="27"/>
      <c r="G27" s="27"/>
      <c r="H27" s="27"/>
      <c r="I27" s="27"/>
      <c r="J27" s="27"/>
      <c r="K27" s="27"/>
      <c r="L27" s="27"/>
      <c r="M27" s="27"/>
      <c r="N27" s="31"/>
      <c r="AE27" s="359"/>
    </row>
    <row r="28" spans="1:31" ht="20.25" customHeight="1" x14ac:dyDescent="0.25">
      <c r="A28" s="30"/>
      <c r="B28" s="27"/>
      <c r="C28" s="27"/>
      <c r="D28" s="27"/>
      <c r="E28" s="27"/>
      <c r="F28" s="27"/>
      <c r="G28" s="27"/>
      <c r="H28" s="27"/>
      <c r="I28" s="27"/>
      <c r="J28" s="27"/>
      <c r="K28" s="27"/>
      <c r="L28" s="27"/>
      <c r="M28" s="27"/>
      <c r="N28" s="31"/>
      <c r="P28" s="1" t="s">
        <v>1271</v>
      </c>
    </row>
    <row r="29" spans="1:31" ht="20.25" customHeight="1" x14ac:dyDescent="0.25">
      <c r="A29" s="35" t="s">
        <v>6</v>
      </c>
      <c r="B29" s="27" t="s">
        <v>1319</v>
      </c>
      <c r="C29" s="27"/>
      <c r="D29" s="27"/>
      <c r="E29" s="27"/>
      <c r="F29" s="27"/>
      <c r="G29" s="27"/>
      <c r="H29" s="27"/>
      <c r="I29" s="27"/>
      <c r="J29" s="27"/>
      <c r="K29" s="27"/>
      <c r="L29" s="27"/>
      <c r="M29" s="27"/>
      <c r="N29" s="31"/>
      <c r="P29" s="359"/>
    </row>
    <row r="30" spans="1:31" ht="20.25" customHeight="1" thickBot="1" x14ac:dyDescent="0.3">
      <c r="A30" s="9">
        <f>INDEX('Point Grid'!$C$8:$I$33,MATCH($A$1,'Point Grid'!$A$8:$A$33,0),MATCH(A29,'Point Grid'!$C$7:$I$7,0))</f>
        <v>0.75</v>
      </c>
      <c r="B30" s="27"/>
      <c r="C30" s="27"/>
      <c r="D30" s="27"/>
      <c r="E30" s="27"/>
      <c r="F30" s="27"/>
      <c r="G30" s="27"/>
      <c r="H30" s="27"/>
      <c r="I30" s="27"/>
      <c r="J30" s="27"/>
      <c r="K30" s="27"/>
      <c r="L30" s="27"/>
      <c r="M30" s="27"/>
      <c r="N30" s="31"/>
      <c r="P30" s="376" t="s">
        <v>1272</v>
      </c>
    </row>
    <row r="31" spans="1:31" ht="15" customHeight="1" thickBot="1" x14ac:dyDescent="0.3">
      <c r="A31" s="5"/>
      <c r="B31" s="27" t="s">
        <v>1253</v>
      </c>
      <c r="C31" s="27"/>
      <c r="D31" s="27"/>
      <c r="E31" s="27"/>
      <c r="F31" s="27"/>
      <c r="G31" s="27"/>
      <c r="H31" s="27"/>
      <c r="I31" s="27"/>
      <c r="J31" s="27"/>
      <c r="K31" s="27"/>
      <c r="L31" s="27"/>
      <c r="M31" s="27"/>
      <c r="N31" s="31"/>
      <c r="P31" s="376" t="s">
        <v>1273</v>
      </c>
    </row>
    <row r="32" spans="1:31" ht="15" customHeight="1" x14ac:dyDescent="0.25">
      <c r="A32" s="30"/>
      <c r="B32" s="27" t="s">
        <v>1254</v>
      </c>
      <c r="C32" s="27"/>
      <c r="D32" s="27"/>
      <c r="E32" s="27"/>
      <c r="F32" s="27"/>
      <c r="G32" s="27"/>
      <c r="H32" s="27"/>
      <c r="I32" s="27"/>
      <c r="J32" s="27"/>
      <c r="K32" s="27"/>
      <c r="L32" s="27"/>
      <c r="M32" s="27"/>
      <c r="N32" s="31"/>
    </row>
    <row r="33" spans="1:31" ht="15" customHeight="1" thickBot="1" x14ac:dyDescent="0.3">
      <c r="A33" s="32"/>
      <c r="B33" s="33"/>
      <c r="C33" s="33"/>
      <c r="D33" s="33"/>
      <c r="E33" s="33"/>
      <c r="F33" s="33"/>
      <c r="G33" s="33"/>
      <c r="H33" s="33"/>
      <c r="I33" s="33"/>
      <c r="J33" s="33"/>
      <c r="K33" s="33"/>
      <c r="L33" s="33"/>
      <c r="M33" s="33"/>
      <c r="N33" s="34"/>
      <c r="P33" s="1" t="s">
        <v>1274</v>
      </c>
    </row>
    <row r="34" spans="1:31" ht="15" customHeight="1" x14ac:dyDescent="0.25">
      <c r="P34" s="359"/>
    </row>
    <row r="35" spans="1:31" ht="15" customHeight="1" x14ac:dyDescent="0.25">
      <c r="P35" s="376" t="s">
        <v>1275</v>
      </c>
      <c r="AE35" s="359"/>
    </row>
    <row r="36" spans="1:31" ht="15" customHeight="1" x14ac:dyDescent="0.25">
      <c r="P36" s="376" t="s">
        <v>1276</v>
      </c>
      <c r="AE36" s="359"/>
    </row>
    <row r="37" spans="1:31" ht="15" customHeight="1" x14ac:dyDescent="0.25">
      <c r="P37" s="376" t="s">
        <v>1277</v>
      </c>
      <c r="AE37" s="359"/>
    </row>
    <row r="38" spans="1:31" ht="15" customHeight="1" x14ac:dyDescent="0.25">
      <c r="P38" s="376" t="s">
        <v>1278</v>
      </c>
    </row>
    <row r="39" spans="1:31" ht="15" customHeight="1" x14ac:dyDescent="0.25">
      <c r="P39" s="376" t="s">
        <v>1279</v>
      </c>
    </row>
    <row r="40" spans="1:31" ht="15" customHeight="1" x14ac:dyDescent="0.25"/>
    <row r="41" spans="1:31" ht="15" customHeight="1" x14ac:dyDescent="0.25">
      <c r="P41" t="s">
        <v>1380</v>
      </c>
      <c r="AE41" s="1"/>
    </row>
    <row r="42" spans="1:31" ht="15" customHeight="1" x14ac:dyDescent="0.25"/>
    <row r="43" spans="1:31" ht="15" customHeight="1" x14ac:dyDescent="0.25"/>
    <row r="44" spans="1:31" ht="15" customHeight="1" x14ac:dyDescent="0.25"/>
    <row r="45" spans="1:31" ht="15" customHeight="1" x14ac:dyDescent="0.25"/>
    <row r="46" spans="1:31" ht="15" customHeight="1" x14ac:dyDescent="0.25"/>
    <row r="47" spans="1:31" ht="15" customHeight="1" x14ac:dyDescent="0.25"/>
    <row r="48" spans="1:31" ht="15" customHeight="1" x14ac:dyDescent="0.25"/>
    <row r="49" ht="15" customHeight="1" x14ac:dyDescent="0.25"/>
  </sheetData>
  <mergeCells count="1">
    <mergeCell ref="M1:N1"/>
  </mergeCells>
  <conditionalFormatting sqref="B1">
    <cfRule type="cellIs" dxfId="14" priority="1" operator="equal">
      <formula>"Incomplete"</formula>
    </cfRule>
    <cfRule type="cellIs" dxfId="13" priority="2" operator="equal">
      <formula>"Flag for Review"</formula>
    </cfRule>
    <cfRule type="cellIs" dxfId="12"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M1" location="'Point Grid'!A8" display="Return to Point Grid"/>
    <hyperlink ref="M1:N1" location="'Point Grid'!A1" display="Return to Point Gri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24"/>
  <sheetViews>
    <sheetView workbookViewId="0"/>
  </sheetViews>
  <sheetFormatPr defaultColWidth="9.140625" defaultRowHeight="15" x14ac:dyDescent="0.25"/>
  <cols>
    <col min="1" max="1" width="8.7109375" customWidth="1"/>
    <col min="2" max="2" width="16.7109375" customWidth="1"/>
    <col min="3" max="9" width="9.42578125" customWidth="1"/>
    <col min="10" max="10" width="10.7109375" customWidth="1"/>
  </cols>
  <sheetData>
    <row r="1" spans="1:14" x14ac:dyDescent="0.25">
      <c r="A1" s="7">
        <v>25</v>
      </c>
      <c r="B1" s="41" t="s">
        <v>12</v>
      </c>
      <c r="C1" s="28"/>
      <c r="D1" s="28"/>
      <c r="E1" s="28"/>
      <c r="F1" s="28"/>
      <c r="G1" s="28"/>
      <c r="H1" s="28"/>
      <c r="I1" s="28"/>
      <c r="J1" s="388" t="s">
        <v>30</v>
      </c>
      <c r="K1" s="390"/>
      <c r="M1" s="29" t="s">
        <v>54</v>
      </c>
      <c r="N1" s="70" t="s">
        <v>892</v>
      </c>
    </row>
    <row r="2" spans="1:14" x14ac:dyDescent="0.25">
      <c r="A2" s="30"/>
      <c r="B2" s="27"/>
      <c r="C2" s="27"/>
      <c r="D2" s="27"/>
      <c r="E2" s="27"/>
      <c r="F2" s="27"/>
      <c r="G2" s="27"/>
      <c r="H2" s="27"/>
      <c r="I2" s="27"/>
      <c r="J2" s="27"/>
      <c r="K2" s="31"/>
    </row>
    <row r="3" spans="1:14" x14ac:dyDescent="0.25">
      <c r="A3" s="8" t="s">
        <v>13</v>
      </c>
      <c r="B3" s="27" t="s">
        <v>900</v>
      </c>
      <c r="C3" s="27"/>
      <c r="D3" s="27"/>
      <c r="E3" s="27"/>
      <c r="F3" s="27"/>
      <c r="G3" s="27"/>
      <c r="H3" s="27"/>
      <c r="I3" s="27"/>
      <c r="J3" s="27"/>
      <c r="K3" s="31"/>
      <c r="M3" s="57" t="s">
        <v>2</v>
      </c>
      <c r="N3" t="s">
        <v>893</v>
      </c>
    </row>
    <row r="4" spans="1:14" x14ac:dyDescent="0.25">
      <c r="A4" s="9">
        <f>INDEX('Point Grid'!B:B,MATCH($A$1,'Point Grid'!A:A,0))</f>
        <v>2.25</v>
      </c>
      <c r="B4" s="27" t="s">
        <v>884</v>
      </c>
      <c r="C4" s="27"/>
      <c r="D4" s="27"/>
      <c r="E4" s="27"/>
      <c r="F4" s="27"/>
      <c r="G4" s="27"/>
      <c r="H4" s="27"/>
      <c r="I4" s="27"/>
      <c r="J4" s="27"/>
      <c r="K4" s="31"/>
      <c r="M4" s="359"/>
      <c r="N4" t="s">
        <v>894</v>
      </c>
    </row>
    <row r="5" spans="1:14" x14ac:dyDescent="0.25">
      <c r="A5" s="30"/>
      <c r="B5" s="27"/>
      <c r="C5" s="27"/>
      <c r="D5" s="27"/>
      <c r="E5" s="27"/>
      <c r="F5" s="27"/>
      <c r="G5" s="27"/>
      <c r="H5" s="27"/>
      <c r="I5" s="27"/>
      <c r="J5" s="27"/>
      <c r="K5" s="31"/>
    </row>
    <row r="6" spans="1:14" x14ac:dyDescent="0.25">
      <c r="A6" s="30"/>
      <c r="B6" s="27" t="s">
        <v>885</v>
      </c>
      <c r="C6" s="27"/>
      <c r="D6" s="27"/>
      <c r="E6" s="27"/>
      <c r="F6" s="27"/>
      <c r="G6" s="27"/>
      <c r="H6" s="27"/>
      <c r="I6" s="27"/>
      <c r="J6" s="27"/>
      <c r="K6" s="31"/>
      <c r="M6" s="57" t="s">
        <v>3</v>
      </c>
      <c r="N6" t="s">
        <v>896</v>
      </c>
    </row>
    <row r="7" spans="1:14" x14ac:dyDescent="0.25">
      <c r="A7" s="27"/>
      <c r="B7" s="27" t="s">
        <v>901</v>
      </c>
      <c r="C7" s="27"/>
      <c r="D7" s="27"/>
      <c r="E7" s="27"/>
      <c r="F7" s="27"/>
      <c r="G7" s="27"/>
      <c r="H7" s="27"/>
      <c r="I7" s="27"/>
      <c r="J7" s="27"/>
      <c r="K7" s="31"/>
    </row>
    <row r="8" spans="1:14" x14ac:dyDescent="0.25">
      <c r="A8" s="27"/>
      <c r="B8" s="27" t="s">
        <v>886</v>
      </c>
      <c r="C8" s="27"/>
      <c r="D8" s="27"/>
      <c r="E8" s="27"/>
      <c r="F8" s="27"/>
      <c r="G8" s="27"/>
      <c r="H8" s="27"/>
      <c r="I8" s="27"/>
      <c r="J8" s="27"/>
      <c r="K8" s="31"/>
      <c r="M8" s="57" t="s">
        <v>895</v>
      </c>
      <c r="N8" t="s">
        <v>899</v>
      </c>
    </row>
    <row r="9" spans="1:14" x14ac:dyDescent="0.25">
      <c r="A9" s="27"/>
      <c r="B9" s="27" t="s">
        <v>887</v>
      </c>
      <c r="C9" s="27"/>
      <c r="D9" s="27"/>
      <c r="E9" s="27"/>
      <c r="F9" s="27"/>
      <c r="G9" s="27"/>
      <c r="H9" s="27"/>
      <c r="I9" s="27"/>
      <c r="J9" s="27"/>
      <c r="K9" s="31"/>
    </row>
    <row r="10" spans="1:14" x14ac:dyDescent="0.25">
      <c r="A10" s="27"/>
      <c r="B10" s="27"/>
      <c r="C10" s="27"/>
      <c r="D10" s="27"/>
      <c r="E10" s="27"/>
      <c r="F10" s="27"/>
      <c r="G10" s="27"/>
      <c r="H10" s="27"/>
      <c r="I10" s="27"/>
      <c r="J10" s="27"/>
      <c r="K10" s="31"/>
    </row>
    <row r="11" spans="1:14" x14ac:dyDescent="0.25">
      <c r="A11" s="35" t="s">
        <v>2</v>
      </c>
      <c r="B11" s="27" t="s">
        <v>888</v>
      </c>
      <c r="C11" s="27"/>
      <c r="D11" s="27"/>
      <c r="E11" s="27"/>
      <c r="F11" s="27"/>
      <c r="G11" s="27"/>
      <c r="H11" s="27"/>
      <c r="I11" s="27"/>
      <c r="J11" s="27"/>
      <c r="K11" s="31"/>
    </row>
    <row r="12" spans="1:14" ht="15.75" thickBot="1" x14ac:dyDescent="0.3">
      <c r="A12" s="9">
        <f>INDEX('Point Grid'!$C$8:$I$35,MATCH($A$1,'Point Grid'!$A$8:$A$35,0),MATCH(A11,'Point Grid'!$C$7:$I$7,0))</f>
        <v>1</v>
      </c>
      <c r="B12" s="27" t="s">
        <v>889</v>
      </c>
      <c r="C12" s="27"/>
      <c r="D12" s="27"/>
      <c r="E12" s="27"/>
      <c r="F12" s="27"/>
      <c r="G12" s="27"/>
      <c r="H12" s="27"/>
      <c r="I12" s="27"/>
      <c r="J12" s="27"/>
      <c r="K12" s="31"/>
    </row>
    <row r="13" spans="1:14" ht="15.75" thickBot="1" x14ac:dyDescent="0.3">
      <c r="A13" s="5"/>
      <c r="B13" s="27"/>
      <c r="C13" s="27"/>
      <c r="D13" s="27"/>
      <c r="E13" s="27"/>
      <c r="F13" s="27"/>
      <c r="G13" s="27"/>
      <c r="H13" s="27"/>
      <c r="I13" s="27"/>
      <c r="J13" s="27"/>
      <c r="K13" s="31"/>
    </row>
    <row r="14" spans="1:14" x14ac:dyDescent="0.25">
      <c r="A14" s="27"/>
      <c r="B14" s="27"/>
      <c r="C14" s="27"/>
      <c r="D14" s="27"/>
      <c r="E14" s="27"/>
      <c r="F14" s="27"/>
      <c r="G14" s="27"/>
      <c r="H14" s="27"/>
      <c r="I14" s="27"/>
      <c r="J14" s="27"/>
      <c r="K14" s="31"/>
    </row>
    <row r="15" spans="1:14" x14ac:dyDescent="0.25">
      <c r="A15" s="35" t="s">
        <v>3</v>
      </c>
      <c r="B15" s="27" t="s">
        <v>890</v>
      </c>
      <c r="C15" s="27"/>
      <c r="D15" s="27"/>
      <c r="E15" s="27"/>
      <c r="F15" s="27"/>
      <c r="G15" s="27"/>
      <c r="H15" s="27"/>
      <c r="I15" s="27"/>
      <c r="J15" s="27"/>
      <c r="K15" s="31"/>
    </row>
    <row r="16" spans="1:14" ht="15.75" thickBot="1" x14ac:dyDescent="0.3">
      <c r="A16" s="9">
        <f>INDEX('Point Grid'!$C$8:$I$35,MATCH($A$1,'Point Grid'!$A$8:$A$35,0),MATCH(A15,'Point Grid'!$C$7:$I$7,0))</f>
        <v>0.75</v>
      </c>
      <c r="B16" s="27" t="s">
        <v>891</v>
      </c>
      <c r="C16" s="27"/>
      <c r="D16" s="27"/>
      <c r="E16" s="27"/>
      <c r="F16" s="27"/>
      <c r="G16" s="27"/>
      <c r="H16" s="27"/>
      <c r="I16" s="27"/>
      <c r="J16" s="27"/>
      <c r="K16" s="31"/>
    </row>
    <row r="17" spans="1:11" ht="15.75" thickBot="1" x14ac:dyDescent="0.3">
      <c r="A17" s="5"/>
      <c r="B17" s="27"/>
      <c r="C17" s="27"/>
      <c r="D17" s="27"/>
      <c r="E17" s="27"/>
      <c r="F17" s="27"/>
      <c r="G17" s="27"/>
      <c r="H17" s="27"/>
      <c r="I17" s="27"/>
      <c r="J17" s="27"/>
      <c r="K17" s="31"/>
    </row>
    <row r="18" spans="1:11" x14ac:dyDescent="0.25">
      <c r="A18" s="27"/>
      <c r="B18" s="27"/>
      <c r="C18" s="27"/>
      <c r="D18" s="27"/>
      <c r="E18" s="27"/>
      <c r="F18" s="27"/>
      <c r="G18" s="27"/>
      <c r="H18" s="27"/>
      <c r="I18" s="27"/>
      <c r="J18" s="27"/>
      <c r="K18" s="31"/>
    </row>
    <row r="19" spans="1:11" x14ac:dyDescent="0.25">
      <c r="A19" s="35" t="s">
        <v>4</v>
      </c>
      <c r="B19" s="27" t="s">
        <v>898</v>
      </c>
      <c r="C19" s="27"/>
      <c r="D19" s="27"/>
      <c r="E19" s="27"/>
      <c r="F19" s="27"/>
      <c r="G19" s="27"/>
      <c r="H19" s="27"/>
      <c r="I19" s="27"/>
      <c r="J19" s="27"/>
      <c r="K19" s="31"/>
    </row>
    <row r="20" spans="1:11" ht="15.75" thickBot="1" x14ac:dyDescent="0.3">
      <c r="A20" s="9">
        <f>INDEX('Point Grid'!$C$8:$I$35,MATCH($A$1,'Point Grid'!$A$8:$A$35,0),MATCH(A19,'Point Grid'!$C$7:$I$7,0))</f>
        <v>0.5</v>
      </c>
      <c r="B20" s="27" t="s">
        <v>897</v>
      </c>
      <c r="C20" s="27"/>
      <c r="D20" s="27"/>
      <c r="E20" s="27"/>
      <c r="F20" s="27"/>
      <c r="G20" s="27"/>
      <c r="H20" s="27"/>
      <c r="I20" s="27"/>
      <c r="J20" s="27"/>
      <c r="K20" s="31"/>
    </row>
    <row r="21" spans="1:11" ht="15.75" thickBot="1" x14ac:dyDescent="0.3">
      <c r="A21" s="5"/>
      <c r="B21" s="27"/>
      <c r="C21" s="27"/>
      <c r="D21" s="27"/>
      <c r="E21" s="27"/>
      <c r="F21" s="27"/>
      <c r="G21" s="27"/>
      <c r="H21" s="27"/>
      <c r="I21" s="27"/>
      <c r="J21" s="27"/>
      <c r="K21" s="31"/>
    </row>
    <row r="22" spans="1:11" x14ac:dyDescent="0.25">
      <c r="A22" s="27"/>
      <c r="B22" s="27"/>
      <c r="C22" s="27"/>
      <c r="D22" s="27"/>
      <c r="E22" s="27"/>
      <c r="F22" s="27"/>
      <c r="G22" s="27"/>
      <c r="H22" s="27"/>
      <c r="I22" s="27"/>
      <c r="J22" s="27"/>
      <c r="K22" s="31"/>
    </row>
    <row r="23" spans="1:11" x14ac:dyDescent="0.25">
      <c r="A23" s="27"/>
      <c r="B23" s="27"/>
      <c r="C23" s="27"/>
      <c r="D23" s="27"/>
      <c r="E23" s="27"/>
      <c r="F23" s="27"/>
      <c r="G23" s="27"/>
      <c r="H23" s="27"/>
      <c r="I23" s="27"/>
      <c r="J23" s="27"/>
      <c r="K23" s="31"/>
    </row>
    <row r="24" spans="1:11" ht="15.75" thickBot="1" x14ac:dyDescent="0.3">
      <c r="A24" s="33"/>
      <c r="B24" s="33"/>
      <c r="C24" s="33"/>
      <c r="D24" s="33"/>
      <c r="E24" s="33"/>
      <c r="F24" s="33"/>
      <c r="G24" s="33"/>
      <c r="H24" s="33"/>
      <c r="I24" s="33"/>
      <c r="J24" s="33"/>
      <c r="K24" s="34"/>
    </row>
  </sheetData>
  <mergeCells count="1">
    <mergeCell ref="J1:K1"/>
  </mergeCells>
  <conditionalFormatting sqref="B1">
    <cfRule type="cellIs" dxfId="11" priority="1" operator="equal">
      <formula>"Incomplete"</formula>
    </cfRule>
    <cfRule type="cellIs" dxfId="10" priority="2" operator="equal">
      <formula>"Flag for Review"</formula>
    </cfRule>
    <cfRule type="cellIs" dxfId="9"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J1" location="'Point Grid'!A8" display="Return to Point Grid"/>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20"/>
  <sheetViews>
    <sheetView workbookViewId="0"/>
  </sheetViews>
  <sheetFormatPr defaultColWidth="9.140625" defaultRowHeight="15" x14ac:dyDescent="0.25"/>
  <cols>
    <col min="1" max="1" width="8.7109375" style="29" customWidth="1"/>
    <col min="2" max="2" width="16.7109375" style="29" customWidth="1"/>
    <col min="3" max="9" width="9.140625" style="29" customWidth="1"/>
    <col min="10" max="10" width="27.7109375" style="29" customWidth="1"/>
    <col min="11" max="11" width="10.7109375" style="29" customWidth="1"/>
    <col min="12" max="16384" width="9.140625" style="29"/>
  </cols>
  <sheetData>
    <row r="1" spans="1:13" x14ac:dyDescent="0.25">
      <c r="A1" s="7">
        <v>26</v>
      </c>
      <c r="B1" s="41" t="s">
        <v>12</v>
      </c>
      <c r="C1" s="28"/>
      <c r="D1" s="28"/>
      <c r="E1" s="28"/>
      <c r="F1" s="28"/>
      <c r="G1" s="28"/>
      <c r="H1" s="28"/>
      <c r="I1" s="388" t="s">
        <v>30</v>
      </c>
      <c r="J1" s="390"/>
      <c r="L1" s="29" t="s">
        <v>54</v>
      </c>
      <c r="M1" s="70" t="s">
        <v>881</v>
      </c>
    </row>
    <row r="2" spans="1:13" x14ac:dyDescent="0.25">
      <c r="A2" s="30"/>
      <c r="B2" s="27"/>
      <c r="C2" s="27"/>
      <c r="D2" s="27"/>
      <c r="E2" s="27"/>
      <c r="F2" s="27"/>
      <c r="G2" s="27"/>
      <c r="H2" s="27"/>
      <c r="I2" s="27"/>
      <c r="J2" s="31"/>
    </row>
    <row r="3" spans="1:13" x14ac:dyDescent="0.25">
      <c r="A3" s="8" t="s">
        <v>13</v>
      </c>
      <c r="B3" s="36"/>
      <c r="C3" s="27"/>
      <c r="D3" s="27"/>
      <c r="E3" s="27"/>
      <c r="F3" s="27"/>
      <c r="G3" s="27"/>
      <c r="H3" s="27"/>
      <c r="I3" s="27"/>
      <c r="J3" s="31"/>
    </row>
    <row r="4" spans="1:13" x14ac:dyDescent="0.25">
      <c r="A4" s="9">
        <f>INDEX('Point Grid'!B:B,MATCH($A$1,'Point Grid'!A:A,0))</f>
        <v>2</v>
      </c>
      <c r="B4" s="36"/>
      <c r="C4" s="27"/>
      <c r="D4" s="27"/>
      <c r="E4" s="27"/>
      <c r="F4" s="27"/>
      <c r="G4" s="27"/>
      <c r="H4" s="27"/>
      <c r="I4" s="27"/>
      <c r="J4" s="31"/>
      <c r="L4" s="57" t="s">
        <v>2</v>
      </c>
      <c r="M4" s="29" t="s">
        <v>130</v>
      </c>
    </row>
    <row r="5" spans="1:13" x14ac:dyDescent="0.25">
      <c r="A5" s="30"/>
      <c r="B5" s="36"/>
      <c r="C5" s="27"/>
      <c r="D5" s="27"/>
      <c r="E5" s="27"/>
      <c r="F5" s="27"/>
      <c r="G5" s="27"/>
      <c r="H5" s="27"/>
      <c r="I5" s="27"/>
      <c r="J5" s="31"/>
      <c r="M5" s="29" t="s">
        <v>131</v>
      </c>
    </row>
    <row r="6" spans="1:13" x14ac:dyDescent="0.25">
      <c r="A6" s="35" t="s">
        <v>2</v>
      </c>
      <c r="B6" s="27" t="s">
        <v>129</v>
      </c>
      <c r="C6" s="27"/>
      <c r="D6" s="27"/>
      <c r="E6" s="27"/>
      <c r="F6" s="27"/>
      <c r="G6" s="27"/>
      <c r="H6" s="27"/>
      <c r="I6" s="27"/>
      <c r="J6" s="31"/>
    </row>
    <row r="7" spans="1:13" ht="15.75" thickBot="1" x14ac:dyDescent="0.3">
      <c r="A7" s="9">
        <f>INDEX('Point Grid'!$C$8:$I$35,MATCH($A$1,'Point Grid'!$A$8:$A$35,0),MATCH(A6,'Point Grid'!$C$7:$I$7,0))</f>
        <v>0.5</v>
      </c>
      <c r="B7" s="27"/>
      <c r="C7" s="27"/>
      <c r="D7" s="27"/>
      <c r="E7" s="27"/>
      <c r="F7" s="27"/>
      <c r="G7" s="27"/>
      <c r="H7" s="27"/>
      <c r="I7" s="27"/>
      <c r="J7" s="31"/>
      <c r="L7" s="57" t="s">
        <v>134</v>
      </c>
      <c r="M7" s="29" t="s">
        <v>350</v>
      </c>
    </row>
    <row r="8" spans="1:13" ht="15.75" thickBot="1" x14ac:dyDescent="0.3">
      <c r="A8" s="5"/>
      <c r="B8" s="27"/>
      <c r="C8" s="27"/>
      <c r="D8" s="27"/>
      <c r="E8" s="27"/>
      <c r="F8" s="27"/>
      <c r="G8" s="27"/>
      <c r="H8" s="27"/>
      <c r="I8" s="27"/>
      <c r="J8" s="31"/>
      <c r="M8" s="29" t="s">
        <v>351</v>
      </c>
    </row>
    <row r="9" spans="1:13" x14ac:dyDescent="0.25">
      <c r="A9" s="30"/>
      <c r="B9" s="27"/>
      <c r="C9" s="27"/>
      <c r="D9" s="27"/>
      <c r="E9" s="27"/>
      <c r="F9" s="27"/>
      <c r="G9" s="27"/>
      <c r="H9" s="27"/>
      <c r="I9" s="27"/>
      <c r="J9" s="31"/>
      <c r="M9" s="29" t="s">
        <v>352</v>
      </c>
    </row>
    <row r="10" spans="1:13" x14ac:dyDescent="0.25">
      <c r="A10" s="35" t="s">
        <v>3</v>
      </c>
      <c r="B10" s="27" t="s">
        <v>353</v>
      </c>
      <c r="C10" s="27"/>
      <c r="D10" s="27"/>
      <c r="E10" s="27"/>
      <c r="F10" s="27"/>
      <c r="G10" s="27"/>
      <c r="H10" s="27"/>
      <c r="I10" s="27"/>
      <c r="J10" s="31"/>
    </row>
    <row r="11" spans="1:13" ht="15.75" thickBot="1" x14ac:dyDescent="0.3">
      <c r="A11" s="9">
        <f>INDEX('Point Grid'!$C$8:$I$35,MATCH($A$1,'Point Grid'!$A$8:$A$35,0),MATCH(A10,'Point Grid'!$C$7:$I$7,0))</f>
        <v>1.5</v>
      </c>
      <c r="B11" s="27" t="s">
        <v>354</v>
      </c>
      <c r="C11" s="27"/>
      <c r="D11" s="27"/>
      <c r="E11" s="27"/>
      <c r="F11" s="27"/>
      <c r="G11" s="27"/>
      <c r="H11" s="27"/>
      <c r="I11" s="27"/>
      <c r="J11" s="31"/>
      <c r="L11" s="57" t="s">
        <v>135</v>
      </c>
      <c r="M11" s="29" t="s">
        <v>350</v>
      </c>
    </row>
    <row r="12" spans="1:13" ht="15.75" thickBot="1" x14ac:dyDescent="0.3">
      <c r="A12" s="5"/>
      <c r="B12" s="27" t="s">
        <v>355</v>
      </c>
      <c r="C12" s="27"/>
      <c r="D12" s="27"/>
      <c r="E12" s="27"/>
      <c r="F12" s="27"/>
      <c r="G12" s="27"/>
      <c r="H12" s="27"/>
      <c r="I12" s="27"/>
      <c r="J12" s="31"/>
      <c r="M12" s="29" t="s">
        <v>356</v>
      </c>
    </row>
    <row r="13" spans="1:13" x14ac:dyDescent="0.25">
      <c r="A13" s="9"/>
      <c r="B13" s="27"/>
      <c r="C13" s="27"/>
      <c r="D13" s="27"/>
      <c r="E13" s="27"/>
      <c r="F13" s="27"/>
      <c r="G13" s="27"/>
      <c r="H13" s="27"/>
      <c r="I13" s="27"/>
      <c r="J13" s="31"/>
      <c r="M13" s="29" t="s">
        <v>357</v>
      </c>
    </row>
    <row r="14" spans="1:13" x14ac:dyDescent="0.25">
      <c r="A14" s="9"/>
      <c r="B14" s="27" t="s">
        <v>358</v>
      </c>
      <c r="C14" s="27"/>
      <c r="D14" s="27"/>
      <c r="E14" s="27"/>
      <c r="F14" s="27"/>
      <c r="G14" s="27"/>
      <c r="H14" s="27"/>
      <c r="I14" s="27"/>
      <c r="J14" s="31"/>
    </row>
    <row r="15" spans="1:13" x14ac:dyDescent="0.25">
      <c r="A15" s="9"/>
      <c r="B15" s="27"/>
      <c r="C15" s="27"/>
      <c r="D15" s="27"/>
      <c r="E15" s="27"/>
      <c r="F15" s="27"/>
      <c r="G15" s="27"/>
      <c r="H15" s="27"/>
      <c r="I15" s="27"/>
      <c r="J15" s="31"/>
    </row>
    <row r="16" spans="1:13" x14ac:dyDescent="0.25">
      <c r="A16" s="9"/>
      <c r="B16" s="27" t="s">
        <v>359</v>
      </c>
      <c r="C16" s="27"/>
      <c r="D16" s="27"/>
      <c r="E16" s="27"/>
      <c r="F16" s="27"/>
      <c r="G16" s="27"/>
      <c r="H16" s="27"/>
      <c r="I16" s="27"/>
      <c r="J16" s="31"/>
    </row>
    <row r="17" spans="1:10" x14ac:dyDescent="0.25">
      <c r="A17" s="9"/>
      <c r="B17" s="27" t="s">
        <v>360</v>
      </c>
      <c r="C17" s="27"/>
      <c r="D17" s="27"/>
      <c r="E17" s="27"/>
      <c r="F17" s="27"/>
      <c r="G17" s="27"/>
      <c r="H17" s="27"/>
      <c r="I17" s="27"/>
      <c r="J17" s="31"/>
    </row>
    <row r="18" spans="1:10" x14ac:dyDescent="0.25">
      <c r="A18" s="9"/>
      <c r="B18" s="27" t="s">
        <v>361</v>
      </c>
      <c r="C18" s="27"/>
      <c r="D18" s="27"/>
      <c r="E18" s="27"/>
      <c r="F18" s="27"/>
      <c r="G18" s="27"/>
      <c r="H18" s="27"/>
      <c r="I18" s="27"/>
      <c r="J18" s="31"/>
    </row>
    <row r="19" spans="1:10" x14ac:dyDescent="0.25">
      <c r="A19" s="9"/>
      <c r="B19" s="27"/>
      <c r="C19" s="27"/>
      <c r="D19" s="27"/>
      <c r="E19" s="27"/>
      <c r="F19" s="27"/>
      <c r="G19" s="27"/>
      <c r="H19" s="27"/>
      <c r="I19" s="27"/>
      <c r="J19" s="31"/>
    </row>
    <row r="20" spans="1:10" ht="15.75" thickBot="1" x14ac:dyDescent="0.3">
      <c r="A20" s="32"/>
      <c r="B20" s="33"/>
      <c r="C20" s="33"/>
      <c r="D20" s="33"/>
      <c r="E20" s="33"/>
      <c r="F20" s="33"/>
      <c r="G20" s="33"/>
      <c r="H20" s="33"/>
      <c r="I20" s="33"/>
      <c r="J20" s="34"/>
    </row>
  </sheetData>
  <mergeCells count="1">
    <mergeCell ref="I1:J1"/>
  </mergeCells>
  <conditionalFormatting sqref="B1">
    <cfRule type="cellIs" dxfId="8" priority="1" operator="equal">
      <formula>"Incomplete"</formula>
    </cfRule>
    <cfRule type="cellIs" dxfId="7" priority="2" operator="equal">
      <formula>"Flag for Review"</formula>
    </cfRule>
    <cfRule type="cellIs" dxfId="6"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38"/>
  <sheetViews>
    <sheetView workbookViewId="0"/>
  </sheetViews>
  <sheetFormatPr defaultColWidth="9.140625" defaultRowHeight="15" x14ac:dyDescent="0.25"/>
  <cols>
    <col min="1" max="1" width="8.7109375" style="29" customWidth="1"/>
    <col min="2" max="2" width="16.7109375" style="29" customWidth="1"/>
    <col min="3" max="10" width="9.140625" style="29" customWidth="1"/>
    <col min="11" max="11" width="10.7109375" style="29" customWidth="1"/>
    <col min="12" max="16384" width="9.140625" style="29"/>
  </cols>
  <sheetData>
    <row r="1" spans="1:14" x14ac:dyDescent="0.25">
      <c r="A1" s="7">
        <v>27</v>
      </c>
      <c r="B1" s="41" t="s">
        <v>12</v>
      </c>
      <c r="C1" s="28"/>
      <c r="D1" s="28"/>
      <c r="E1" s="28"/>
      <c r="F1" s="28"/>
      <c r="G1" s="28"/>
      <c r="H1" s="28"/>
      <c r="I1" s="388" t="s">
        <v>30</v>
      </c>
      <c r="J1" s="390"/>
      <c r="L1" s="29" t="s">
        <v>54</v>
      </c>
      <c r="M1" s="70" t="s">
        <v>882</v>
      </c>
    </row>
    <row r="2" spans="1:14" x14ac:dyDescent="0.25">
      <c r="A2" s="30"/>
      <c r="B2" s="27"/>
      <c r="C2" s="27"/>
      <c r="D2" s="27"/>
      <c r="E2" s="27"/>
      <c r="F2" s="27"/>
      <c r="G2" s="27"/>
      <c r="H2" s="27"/>
      <c r="I2" s="27"/>
      <c r="J2" s="31"/>
    </row>
    <row r="3" spans="1:14" x14ac:dyDescent="0.25">
      <c r="A3" s="8" t="s">
        <v>13</v>
      </c>
      <c r="B3" s="27"/>
      <c r="C3" s="27"/>
      <c r="D3" s="27"/>
      <c r="E3" s="27"/>
      <c r="F3" s="27"/>
      <c r="G3" s="27"/>
      <c r="H3" s="27"/>
      <c r="I3" s="27"/>
      <c r="J3" s="31"/>
    </row>
    <row r="4" spans="1:14" x14ac:dyDescent="0.25">
      <c r="A4" s="9">
        <f>INDEX('Point Grid'!B:B,MATCH($A$1,'Point Grid'!A:A,0))</f>
        <v>2.75</v>
      </c>
      <c r="B4" s="27"/>
      <c r="C4" s="27"/>
      <c r="D4" s="27"/>
      <c r="E4" s="27"/>
      <c r="F4" s="27"/>
      <c r="G4" s="27"/>
      <c r="H4" s="27"/>
      <c r="I4" s="27"/>
      <c r="J4" s="31"/>
      <c r="L4" s="57" t="s">
        <v>2</v>
      </c>
      <c r="M4" s="29" t="s">
        <v>143</v>
      </c>
      <c r="N4" s="29" t="s">
        <v>549</v>
      </c>
    </row>
    <row r="5" spans="1:14" x14ac:dyDescent="0.25">
      <c r="A5" s="30"/>
      <c r="B5" s="27"/>
      <c r="C5" s="27"/>
      <c r="D5" s="27"/>
      <c r="E5" s="27"/>
      <c r="F5" s="27"/>
      <c r="G5" s="27"/>
      <c r="H5" s="27"/>
      <c r="I5" s="27"/>
      <c r="J5" s="31"/>
    </row>
    <row r="6" spans="1:14" x14ac:dyDescent="0.25">
      <c r="A6" s="35" t="s">
        <v>2</v>
      </c>
      <c r="B6" s="27" t="s">
        <v>136</v>
      </c>
      <c r="C6" s="27"/>
      <c r="D6" s="27"/>
      <c r="E6" s="27"/>
      <c r="F6" s="27"/>
      <c r="G6" s="27"/>
      <c r="H6" s="27"/>
      <c r="I6" s="27"/>
      <c r="J6" s="31"/>
    </row>
    <row r="7" spans="1:14" ht="15.75" thickBot="1" x14ac:dyDescent="0.3">
      <c r="A7" s="9">
        <f>INDEX('Point Grid'!$C$8:$I$35,MATCH($A$1,'Point Grid'!$A$8:$A$35,0),MATCH(A6,'Point Grid'!$C$7:$I$7,0))</f>
        <v>0.75</v>
      </c>
      <c r="B7" s="27"/>
      <c r="C7" s="27"/>
      <c r="D7" s="27"/>
      <c r="E7" s="27"/>
      <c r="F7" s="27"/>
      <c r="G7" s="27"/>
      <c r="H7" s="27"/>
      <c r="I7" s="27"/>
      <c r="J7" s="31"/>
      <c r="M7" s="29" t="s">
        <v>144</v>
      </c>
      <c r="N7" s="29" t="s">
        <v>556</v>
      </c>
    </row>
    <row r="8" spans="1:14" ht="15.75" thickBot="1" x14ac:dyDescent="0.3">
      <c r="A8" s="74"/>
      <c r="B8" s="54" t="s">
        <v>137</v>
      </c>
      <c r="C8" s="49" t="s">
        <v>139</v>
      </c>
      <c r="D8" s="49"/>
      <c r="E8" s="49"/>
      <c r="F8" s="49"/>
      <c r="G8" s="49"/>
      <c r="H8" s="49"/>
      <c r="I8" s="63"/>
      <c r="J8" s="31"/>
      <c r="N8" s="29" t="s">
        <v>557</v>
      </c>
    </row>
    <row r="9" spans="1:14" x14ac:dyDescent="0.25">
      <c r="A9" s="30"/>
      <c r="B9" s="76" t="s">
        <v>119</v>
      </c>
      <c r="C9" s="27" t="s">
        <v>550</v>
      </c>
      <c r="D9" s="27"/>
      <c r="E9" s="27"/>
      <c r="F9" s="27"/>
      <c r="G9" s="27"/>
      <c r="H9" s="27"/>
      <c r="I9" s="61"/>
      <c r="J9" s="31"/>
    </row>
    <row r="10" spans="1:14" x14ac:dyDescent="0.25">
      <c r="A10" s="30"/>
      <c r="B10" s="77"/>
      <c r="C10" s="48" t="s">
        <v>551</v>
      </c>
      <c r="D10" s="48"/>
      <c r="E10" s="48"/>
      <c r="F10" s="48"/>
      <c r="G10" s="48"/>
      <c r="H10" s="48"/>
      <c r="I10" s="62"/>
      <c r="J10" s="31"/>
      <c r="M10" s="29" t="s">
        <v>145</v>
      </c>
      <c r="N10" s="29" t="s">
        <v>558</v>
      </c>
    </row>
    <row r="11" spans="1:14" x14ac:dyDescent="0.25">
      <c r="A11" s="30"/>
      <c r="B11" s="75" t="s">
        <v>138</v>
      </c>
      <c r="C11" s="47" t="s">
        <v>554</v>
      </c>
      <c r="D11" s="47"/>
      <c r="E11" s="47"/>
      <c r="F11" s="47"/>
      <c r="G11" s="47"/>
      <c r="H11" s="47"/>
      <c r="I11" s="60"/>
      <c r="J11" s="31"/>
    </row>
    <row r="12" spans="1:14" x14ac:dyDescent="0.25">
      <c r="A12" s="30"/>
      <c r="B12" s="77"/>
      <c r="C12" s="48" t="s">
        <v>555</v>
      </c>
      <c r="D12" s="48"/>
      <c r="E12" s="48"/>
      <c r="F12" s="48"/>
      <c r="G12" s="48"/>
      <c r="H12" s="48"/>
      <c r="I12" s="62"/>
      <c r="J12" s="31"/>
      <c r="M12" s="29" t="s">
        <v>559</v>
      </c>
      <c r="N12" s="29" t="s">
        <v>560</v>
      </c>
    </row>
    <row r="13" spans="1:14" x14ac:dyDescent="0.25">
      <c r="A13" s="30"/>
      <c r="B13" s="76" t="s">
        <v>121</v>
      </c>
      <c r="C13" s="27" t="s">
        <v>552</v>
      </c>
      <c r="D13" s="27"/>
      <c r="E13" s="27"/>
      <c r="F13" s="27"/>
      <c r="G13" s="27"/>
      <c r="H13" s="27"/>
      <c r="I13" s="61"/>
      <c r="J13" s="31"/>
      <c r="N13" s="29" t="s">
        <v>561</v>
      </c>
    </row>
    <row r="14" spans="1:14" x14ac:dyDescent="0.25">
      <c r="A14" s="30"/>
      <c r="B14" s="66"/>
      <c r="C14" s="48" t="s">
        <v>553</v>
      </c>
      <c r="D14" s="48"/>
      <c r="E14" s="48"/>
      <c r="F14" s="48"/>
      <c r="G14" s="48"/>
      <c r="H14" s="48"/>
      <c r="I14" s="62"/>
      <c r="J14" s="31"/>
    </row>
    <row r="15" spans="1:14" x14ac:dyDescent="0.25">
      <c r="A15" s="30"/>
      <c r="B15" s="76" t="s">
        <v>249</v>
      </c>
      <c r="C15" s="27" t="s">
        <v>552</v>
      </c>
      <c r="D15" s="27"/>
      <c r="E15" s="27"/>
      <c r="F15" s="27"/>
      <c r="G15" s="27"/>
      <c r="H15" s="27"/>
      <c r="I15" s="61"/>
      <c r="J15" s="31"/>
      <c r="L15" s="57" t="s">
        <v>3</v>
      </c>
      <c r="M15" s="58" t="s">
        <v>146</v>
      </c>
    </row>
    <row r="16" spans="1:14" x14ac:dyDescent="0.25">
      <c r="A16" s="30"/>
      <c r="B16" s="66"/>
      <c r="C16" s="48" t="s">
        <v>563</v>
      </c>
      <c r="D16" s="48"/>
      <c r="E16" s="48"/>
      <c r="F16" s="48"/>
      <c r="G16" s="48"/>
      <c r="H16" s="48"/>
      <c r="I16" s="62"/>
      <c r="J16" s="31"/>
      <c r="M16" s="29" t="s">
        <v>147</v>
      </c>
    </row>
    <row r="17" spans="1:13" x14ac:dyDescent="0.25">
      <c r="A17" s="30"/>
      <c r="B17" s="27"/>
      <c r="C17" s="27"/>
      <c r="D17" s="27"/>
      <c r="E17" s="27"/>
      <c r="F17" s="27"/>
      <c r="G17" s="27"/>
      <c r="H17" s="27"/>
      <c r="I17" s="27"/>
      <c r="J17" s="31"/>
      <c r="M17" s="29" t="s">
        <v>148</v>
      </c>
    </row>
    <row r="18" spans="1:13" x14ac:dyDescent="0.25">
      <c r="A18" s="30"/>
      <c r="B18" s="27" t="s">
        <v>140</v>
      </c>
      <c r="C18" s="27"/>
      <c r="D18" s="27"/>
      <c r="E18" s="27"/>
      <c r="F18" s="27"/>
      <c r="G18" s="27"/>
      <c r="H18" s="27"/>
      <c r="I18" s="27"/>
      <c r="J18" s="31"/>
      <c r="M18" s="29" t="s">
        <v>149</v>
      </c>
    </row>
    <row r="19" spans="1:13" x14ac:dyDescent="0.25">
      <c r="A19" s="30"/>
      <c r="B19" s="27"/>
      <c r="C19" s="27"/>
      <c r="D19" s="27"/>
      <c r="E19" s="27"/>
      <c r="F19" s="27"/>
      <c r="G19" s="27"/>
      <c r="H19" s="27"/>
      <c r="I19" s="27"/>
      <c r="J19" s="31"/>
      <c r="M19" s="29" t="s">
        <v>150</v>
      </c>
    </row>
    <row r="20" spans="1:13" x14ac:dyDescent="0.25">
      <c r="A20" s="35" t="s">
        <v>3</v>
      </c>
      <c r="B20" s="27" t="s">
        <v>142</v>
      </c>
      <c r="C20" s="27"/>
      <c r="D20" s="27"/>
      <c r="E20" s="27"/>
      <c r="F20" s="27"/>
      <c r="G20" s="27"/>
      <c r="H20" s="27"/>
      <c r="I20" s="27"/>
      <c r="J20" s="31"/>
      <c r="M20" s="29" t="s">
        <v>151</v>
      </c>
    </row>
    <row r="21" spans="1:13" ht="15.75" thickBot="1" x14ac:dyDescent="0.3">
      <c r="A21" s="9">
        <f>INDEX('Point Grid'!$C$8:$I$35,MATCH($A$1,'Point Grid'!$A$8:$A$35,0),MATCH(A20,'Point Grid'!$C$7:$I$7,0))</f>
        <v>1</v>
      </c>
      <c r="B21" s="27"/>
      <c r="C21" s="27"/>
      <c r="D21" s="27"/>
      <c r="E21" s="27"/>
      <c r="F21" s="27"/>
      <c r="G21" s="27"/>
      <c r="H21" s="27"/>
      <c r="I21" s="27"/>
      <c r="J21" s="31"/>
      <c r="M21" s="29" t="s">
        <v>152</v>
      </c>
    </row>
    <row r="22" spans="1:13" ht="15.75" thickBot="1" x14ac:dyDescent="0.3">
      <c r="A22" s="5"/>
      <c r="B22" s="27"/>
      <c r="C22" s="27"/>
      <c r="D22" s="27"/>
      <c r="E22" s="27"/>
      <c r="F22" s="27"/>
      <c r="G22" s="27"/>
      <c r="H22" s="27"/>
      <c r="I22" s="27"/>
      <c r="J22" s="31"/>
      <c r="M22" s="29" t="s">
        <v>153</v>
      </c>
    </row>
    <row r="23" spans="1:13" x14ac:dyDescent="0.25">
      <c r="A23" s="36"/>
      <c r="B23" s="27"/>
      <c r="C23" s="27"/>
      <c r="D23" s="27"/>
      <c r="E23" s="27"/>
      <c r="F23" s="27"/>
      <c r="G23" s="27"/>
      <c r="H23" s="27"/>
      <c r="I23" s="27"/>
      <c r="J23" s="31"/>
    </row>
    <row r="24" spans="1:13" x14ac:dyDescent="0.25">
      <c r="A24" s="35" t="s">
        <v>4</v>
      </c>
      <c r="B24" s="27" t="s">
        <v>141</v>
      </c>
      <c r="C24" s="27"/>
      <c r="D24" s="27"/>
      <c r="E24" s="27"/>
      <c r="F24" s="27"/>
      <c r="G24" s="27"/>
      <c r="H24" s="27"/>
      <c r="I24" s="27"/>
      <c r="J24" s="31"/>
      <c r="L24" s="57" t="s">
        <v>4</v>
      </c>
      <c r="M24" s="29" t="s">
        <v>154</v>
      </c>
    </row>
    <row r="25" spans="1:13" ht="15.75" thickBot="1" x14ac:dyDescent="0.3">
      <c r="A25" s="9">
        <f>INDEX('Point Grid'!$C$8:$I$35,MATCH($A$1,'Point Grid'!$A$8:$A$35,0),MATCH(A24,'Point Grid'!$C$7:$I$7,0))</f>
        <v>0.5</v>
      </c>
      <c r="B25" s="27"/>
      <c r="C25" s="27"/>
      <c r="D25" s="27"/>
      <c r="E25" s="27"/>
      <c r="F25" s="27"/>
      <c r="G25" s="27"/>
      <c r="H25" s="27"/>
      <c r="I25" s="27"/>
      <c r="J25" s="31"/>
      <c r="M25" s="29" t="s">
        <v>155</v>
      </c>
    </row>
    <row r="26" spans="1:13" ht="15.75" thickBot="1" x14ac:dyDescent="0.3">
      <c r="A26" s="5"/>
      <c r="B26" s="27"/>
      <c r="C26" s="27"/>
      <c r="D26" s="27"/>
      <c r="E26" s="27"/>
      <c r="F26" s="27"/>
      <c r="G26" s="27"/>
      <c r="H26" s="27"/>
      <c r="I26" s="27"/>
      <c r="J26" s="31"/>
      <c r="M26" s="29" t="s">
        <v>156</v>
      </c>
    </row>
    <row r="27" spans="1:13" x14ac:dyDescent="0.25">
      <c r="A27" s="30"/>
      <c r="B27" s="27"/>
      <c r="C27" s="27"/>
      <c r="D27" s="27"/>
      <c r="E27" s="27"/>
      <c r="F27" s="27"/>
      <c r="G27" s="27"/>
      <c r="H27" s="27"/>
      <c r="I27" s="27"/>
      <c r="J27" s="31"/>
      <c r="M27" s="29" t="s">
        <v>157</v>
      </c>
    </row>
    <row r="28" spans="1:13" x14ac:dyDescent="0.25">
      <c r="A28" s="35" t="s">
        <v>5</v>
      </c>
      <c r="B28" s="27" t="s">
        <v>164</v>
      </c>
      <c r="C28" s="27"/>
      <c r="D28" s="27"/>
      <c r="E28" s="27"/>
      <c r="F28" s="27"/>
      <c r="G28" s="27"/>
      <c r="H28" s="27"/>
      <c r="I28" s="27"/>
      <c r="J28" s="31"/>
      <c r="M28" s="29" t="s">
        <v>158</v>
      </c>
    </row>
    <row r="29" spans="1:13" ht="15.75" thickBot="1" x14ac:dyDescent="0.3">
      <c r="A29" s="9">
        <f>INDEX('Point Grid'!$C$8:$I$35,MATCH($A$1,'Point Grid'!$A$8:$A$35,0),MATCH(A28,'Point Grid'!$C$7:$I$7,0))</f>
        <v>0.5</v>
      </c>
      <c r="B29" s="27"/>
      <c r="C29" s="27"/>
      <c r="D29" s="27"/>
      <c r="E29" s="27"/>
      <c r="F29" s="27"/>
      <c r="G29" s="27"/>
      <c r="H29" s="27"/>
      <c r="I29" s="27"/>
      <c r="J29" s="31"/>
      <c r="M29" s="29" t="s">
        <v>159</v>
      </c>
    </row>
    <row r="30" spans="1:13" ht="15.75" thickBot="1" x14ac:dyDescent="0.3">
      <c r="A30" s="5"/>
      <c r="B30" s="27"/>
      <c r="C30" s="27"/>
      <c r="D30" s="27"/>
      <c r="E30" s="27"/>
      <c r="F30" s="27"/>
      <c r="G30" s="27"/>
      <c r="H30" s="27"/>
      <c r="I30" s="27"/>
      <c r="J30" s="31"/>
      <c r="M30" s="58" t="s">
        <v>160</v>
      </c>
    </row>
    <row r="31" spans="1:13" x14ac:dyDescent="0.25">
      <c r="A31" s="30"/>
      <c r="B31" s="27"/>
      <c r="C31" s="27"/>
      <c r="D31" s="27"/>
      <c r="E31" s="27"/>
      <c r="F31" s="27"/>
      <c r="G31" s="27"/>
      <c r="H31" s="27"/>
      <c r="I31" s="27"/>
      <c r="J31" s="31"/>
      <c r="M31" s="29" t="s">
        <v>161</v>
      </c>
    </row>
    <row r="32" spans="1:13" x14ac:dyDescent="0.25">
      <c r="A32" s="30"/>
      <c r="B32" s="27"/>
      <c r="C32" s="27"/>
      <c r="D32" s="27"/>
      <c r="E32" s="27"/>
      <c r="F32" s="27"/>
      <c r="G32" s="27"/>
      <c r="H32" s="27"/>
      <c r="I32" s="27"/>
      <c r="J32" s="31"/>
      <c r="M32" s="29" t="s">
        <v>162</v>
      </c>
    </row>
    <row r="33" spans="1:13" x14ac:dyDescent="0.25">
      <c r="A33" s="30"/>
      <c r="B33" s="27"/>
      <c r="C33" s="27"/>
      <c r="D33" s="27"/>
      <c r="E33" s="27"/>
      <c r="F33" s="27"/>
      <c r="G33" s="27"/>
      <c r="H33" s="27"/>
      <c r="I33" s="27"/>
      <c r="J33" s="31"/>
      <c r="M33" s="29" t="s">
        <v>163</v>
      </c>
    </row>
    <row r="34" spans="1:13" ht="15.75" thickBot="1" x14ac:dyDescent="0.3">
      <c r="A34" s="32"/>
      <c r="B34" s="33"/>
      <c r="C34" s="33"/>
      <c r="D34" s="33"/>
      <c r="E34" s="33"/>
      <c r="F34" s="33"/>
      <c r="G34" s="33"/>
      <c r="H34" s="33"/>
      <c r="I34" s="33"/>
      <c r="J34" s="34"/>
    </row>
    <row r="35" spans="1:13" x14ac:dyDescent="0.25">
      <c r="L35" s="57" t="s">
        <v>5</v>
      </c>
      <c r="M35" s="58" t="s">
        <v>124</v>
      </c>
    </row>
    <row r="36" spans="1:13" x14ac:dyDescent="0.25">
      <c r="M36" s="29" t="s">
        <v>165</v>
      </c>
    </row>
    <row r="37" spans="1:13" x14ac:dyDescent="0.25">
      <c r="M37" s="29" t="s">
        <v>166</v>
      </c>
    </row>
    <row r="38" spans="1:13" x14ac:dyDescent="0.25">
      <c r="M38" s="29" t="s">
        <v>167</v>
      </c>
    </row>
  </sheetData>
  <mergeCells count="1">
    <mergeCell ref="I1:J1"/>
  </mergeCells>
  <conditionalFormatting sqref="B1">
    <cfRule type="cellIs" dxfId="5" priority="1" operator="equal">
      <formula>"Incomplete"</formula>
    </cfRule>
    <cfRule type="cellIs" dxfId="4" priority="2" operator="equal">
      <formula>"Flag for Review"</formula>
    </cfRule>
    <cfRule type="cellIs" dxfId="3"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1"/>
  <sheetViews>
    <sheetView workbookViewId="0"/>
  </sheetViews>
  <sheetFormatPr defaultColWidth="9.140625" defaultRowHeight="15" x14ac:dyDescent="0.25"/>
  <cols>
    <col min="1" max="1" width="9.140625" style="29"/>
    <col min="2" max="2" width="16" style="29" bestFit="1" customWidth="1"/>
    <col min="3" max="9" width="10.140625" style="29" customWidth="1"/>
    <col min="10" max="16384" width="9.140625" style="29"/>
  </cols>
  <sheetData>
    <row r="1" spans="1:12" x14ac:dyDescent="0.25">
      <c r="A1" s="7">
        <v>1</v>
      </c>
      <c r="B1" s="41" t="s">
        <v>12</v>
      </c>
      <c r="C1" s="28"/>
      <c r="D1" s="28"/>
      <c r="E1" s="28"/>
      <c r="F1" s="28"/>
      <c r="G1" s="28"/>
      <c r="H1" s="388" t="s">
        <v>30</v>
      </c>
      <c r="I1" s="389"/>
      <c r="K1" s="29" t="s">
        <v>54</v>
      </c>
      <c r="L1" s="70" t="s">
        <v>794</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Grid'!B:B,MATCH('1'!A1,'Point Grid'!A:A,0))</f>
        <v>2</v>
      </c>
      <c r="B4" s="27"/>
      <c r="C4" s="27"/>
      <c r="D4" s="27"/>
      <c r="E4" s="27"/>
      <c r="F4" s="27"/>
      <c r="G4" s="27"/>
      <c r="H4" s="27"/>
      <c r="I4" s="31"/>
      <c r="K4" s="57" t="s">
        <v>2</v>
      </c>
      <c r="L4" s="29" t="s">
        <v>41</v>
      </c>
    </row>
    <row r="5" spans="1:12" x14ac:dyDescent="0.25">
      <c r="A5" s="24"/>
      <c r="B5" s="25"/>
      <c r="C5" s="25"/>
      <c r="D5" s="25"/>
      <c r="E5" s="25"/>
      <c r="F5" s="25"/>
      <c r="G5" s="25"/>
      <c r="H5" s="25"/>
      <c r="I5" s="26"/>
      <c r="L5" s="29" t="s">
        <v>42</v>
      </c>
    </row>
    <row r="6" spans="1:12" x14ac:dyDescent="0.25">
      <c r="A6" s="35" t="s">
        <v>2</v>
      </c>
      <c r="B6" s="27" t="s">
        <v>122</v>
      </c>
      <c r="C6" s="27"/>
      <c r="D6" s="27"/>
      <c r="E6" s="27"/>
      <c r="F6" s="27"/>
      <c r="G6" s="27"/>
      <c r="H6" s="27"/>
      <c r="I6" s="31"/>
    </row>
    <row r="7" spans="1:12" ht="15.75" thickBot="1" x14ac:dyDescent="0.3">
      <c r="A7" s="9">
        <f>INDEX('Point Grid'!$C$8:$I$35,MATCH($A$1,'Point Grid'!$A$8:$A$35,0),MATCH(A6,'Point Grid'!$C$7:$I$7,0))</f>
        <v>0.5</v>
      </c>
      <c r="B7" s="27" t="s">
        <v>35</v>
      </c>
      <c r="C7" s="27"/>
      <c r="D7" s="27"/>
      <c r="E7" s="27"/>
      <c r="F7" s="27"/>
      <c r="G7" s="27"/>
      <c r="H7" s="27"/>
      <c r="I7" s="31"/>
      <c r="K7" s="57" t="s">
        <v>3</v>
      </c>
      <c r="L7" s="29" t="s">
        <v>44</v>
      </c>
    </row>
    <row r="8" spans="1:12" ht="15.75" thickBot="1" x14ac:dyDescent="0.3">
      <c r="A8" s="5"/>
      <c r="B8" s="27"/>
      <c r="C8" s="27"/>
      <c r="D8" s="27"/>
      <c r="E8" s="27"/>
      <c r="F8" s="27"/>
      <c r="G8" s="27"/>
      <c r="H8" s="27"/>
      <c r="I8" s="31"/>
    </row>
    <row r="9" spans="1:12" x14ac:dyDescent="0.25">
      <c r="A9" s="35"/>
      <c r="B9" s="27"/>
      <c r="C9" s="27"/>
      <c r="D9" s="27"/>
      <c r="E9" s="27"/>
      <c r="F9" s="27"/>
      <c r="G9" s="27"/>
      <c r="H9" s="27"/>
      <c r="I9" s="31"/>
      <c r="K9" s="57" t="s">
        <v>4</v>
      </c>
      <c r="L9" s="29" t="s">
        <v>43</v>
      </c>
    </row>
    <row r="10" spans="1:12" x14ac:dyDescent="0.25">
      <c r="A10" s="35" t="s">
        <v>3</v>
      </c>
      <c r="B10" s="27" t="s">
        <v>36</v>
      </c>
      <c r="C10" s="27"/>
      <c r="D10" s="27"/>
      <c r="E10" s="27"/>
      <c r="F10" s="27"/>
      <c r="G10" s="27"/>
      <c r="H10" s="27"/>
      <c r="I10" s="31"/>
      <c r="L10" s="29" t="s">
        <v>788</v>
      </c>
    </row>
    <row r="11" spans="1:12" ht="15.75" thickBot="1" x14ac:dyDescent="0.3">
      <c r="A11" s="9">
        <f>INDEX('Point Grid'!$C$8:$I$35,MATCH($A$1,'Point Grid'!$A$8:$A$35,0),MATCH(A10,'Point Grid'!$C$7:$I$7,0))</f>
        <v>0.25</v>
      </c>
      <c r="B11" s="27" t="s">
        <v>37</v>
      </c>
      <c r="C11" s="27"/>
      <c r="D11" s="27"/>
      <c r="E11" s="27"/>
      <c r="F11" s="27"/>
      <c r="G11" s="27"/>
      <c r="H11" s="27"/>
      <c r="I11" s="31"/>
      <c r="L11" s="29" t="s">
        <v>45</v>
      </c>
    </row>
    <row r="12" spans="1:12" ht="15.75" thickBot="1" x14ac:dyDescent="0.3">
      <c r="A12" s="5"/>
      <c r="B12" s="27"/>
      <c r="C12" s="27"/>
      <c r="D12" s="27"/>
      <c r="E12" s="27"/>
      <c r="F12" s="27"/>
      <c r="G12" s="27"/>
      <c r="H12" s="27"/>
      <c r="I12" s="31"/>
      <c r="L12" s="29" t="s">
        <v>46</v>
      </c>
    </row>
    <row r="13" spans="1:12" x14ac:dyDescent="0.25">
      <c r="A13" s="35"/>
      <c r="B13" s="27"/>
      <c r="C13" s="27"/>
      <c r="D13" s="27"/>
      <c r="E13" s="27"/>
      <c r="F13" s="27"/>
      <c r="G13" s="27"/>
      <c r="H13" s="27"/>
      <c r="I13" s="31"/>
    </row>
    <row r="14" spans="1:12" x14ac:dyDescent="0.25">
      <c r="A14" s="35" t="s">
        <v>4</v>
      </c>
      <c r="B14" s="27" t="s">
        <v>38</v>
      </c>
      <c r="C14" s="27"/>
      <c r="D14" s="27"/>
      <c r="E14" s="27"/>
      <c r="F14" s="27"/>
      <c r="G14" s="27"/>
      <c r="H14" s="27"/>
      <c r="I14" s="31"/>
      <c r="K14" s="57" t="s">
        <v>5</v>
      </c>
      <c r="L14" s="29" t="s">
        <v>47</v>
      </c>
    </row>
    <row r="15" spans="1:12" ht="15.75" thickBot="1" x14ac:dyDescent="0.3">
      <c r="A15" s="9">
        <f>INDEX('Point Grid'!$C$8:$I$35,MATCH($A$1,'Point Grid'!$A$8:$A$35,0),MATCH(A14,'Point Grid'!$C$7:$I$7,0))</f>
        <v>0.75</v>
      </c>
      <c r="B15" s="27" t="s">
        <v>37</v>
      </c>
      <c r="C15" s="27"/>
      <c r="D15" s="27"/>
      <c r="E15" s="27"/>
      <c r="F15" s="27"/>
      <c r="G15" s="27"/>
      <c r="H15" s="27"/>
      <c r="I15" s="31"/>
      <c r="L15" s="29" t="s">
        <v>48</v>
      </c>
    </row>
    <row r="16" spans="1:12" ht="15.75" thickBot="1" x14ac:dyDescent="0.3">
      <c r="A16" s="5"/>
      <c r="B16" s="27"/>
      <c r="C16" s="27"/>
      <c r="D16" s="27"/>
      <c r="E16" s="27"/>
      <c r="F16" s="27"/>
      <c r="G16" s="27"/>
      <c r="H16" s="27"/>
      <c r="I16" s="31"/>
      <c r="L16" s="29" t="s">
        <v>50</v>
      </c>
    </row>
    <row r="17" spans="1:12" x14ac:dyDescent="0.25">
      <c r="A17" s="35"/>
      <c r="B17" s="27"/>
      <c r="C17" s="27"/>
      <c r="D17" s="27"/>
      <c r="E17" s="27"/>
      <c r="F17" s="27"/>
      <c r="G17" s="27"/>
      <c r="H17" s="27"/>
      <c r="I17" s="31"/>
      <c r="L17" s="29" t="s">
        <v>49</v>
      </c>
    </row>
    <row r="18" spans="1:12" x14ac:dyDescent="0.25">
      <c r="A18" s="35" t="s">
        <v>5</v>
      </c>
      <c r="B18" s="27" t="s">
        <v>39</v>
      </c>
      <c r="C18" s="27"/>
      <c r="D18" s="27"/>
      <c r="E18" s="27"/>
      <c r="F18" s="27"/>
      <c r="G18" s="27"/>
      <c r="H18" s="27"/>
      <c r="I18" s="31"/>
    </row>
    <row r="19" spans="1:12" ht="15.75" thickBot="1" x14ac:dyDescent="0.3">
      <c r="A19" s="9">
        <f>INDEX('Point Grid'!$C$8:$I$35,MATCH($A$1,'Point Grid'!$A$8:$A$35,0),MATCH(A18,'Point Grid'!$C$7:$I$7,0))</f>
        <v>0.5</v>
      </c>
      <c r="B19" s="27" t="s">
        <v>40</v>
      </c>
      <c r="C19" s="27"/>
      <c r="D19" s="27"/>
      <c r="E19" s="27"/>
      <c r="F19" s="27"/>
      <c r="G19" s="27"/>
      <c r="H19" s="27"/>
      <c r="I19" s="31"/>
    </row>
    <row r="20" spans="1:12" ht="15.75" thickBot="1" x14ac:dyDescent="0.3">
      <c r="A20" s="5"/>
      <c r="B20" s="27"/>
      <c r="C20" s="27"/>
      <c r="D20" s="27"/>
      <c r="E20" s="27"/>
      <c r="F20" s="27"/>
      <c r="G20" s="27"/>
      <c r="H20" s="27"/>
      <c r="I20" s="31"/>
    </row>
    <row r="21" spans="1:12" ht="15.75" thickBot="1" x14ac:dyDescent="0.3">
      <c r="A21" s="23"/>
      <c r="B21" s="33"/>
      <c r="C21" s="33"/>
      <c r="D21" s="33"/>
      <c r="E21" s="33"/>
      <c r="F21" s="33"/>
      <c r="G21" s="33"/>
      <c r="H21" s="33"/>
      <c r="I21" s="34"/>
    </row>
  </sheetData>
  <mergeCells count="1">
    <mergeCell ref="H1:I1"/>
  </mergeCells>
  <conditionalFormatting sqref="B1">
    <cfRule type="cellIs" dxfId="100" priority="1" operator="equal">
      <formula>"Incomplete"</formula>
    </cfRule>
    <cfRule type="cellIs" dxfId="99" priority="2" operator="equal">
      <formula>"Flag for Review"</formula>
    </cfRule>
    <cfRule type="cellIs" dxfId="98"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21 A17">
      <formula1>0</formula1>
      <formula2>#REF!</formula2>
    </dataValidation>
  </dataValidations>
  <hyperlinks>
    <hyperlink ref="H1" location="'Point Grid'!A8" display="Return to Point Grid"/>
    <hyperlink ref="H1:I1" location="'Point Grid'!A1" display="Return to Point Grid"/>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29"/>
  <sheetViews>
    <sheetView workbookViewId="0"/>
  </sheetViews>
  <sheetFormatPr defaultColWidth="9.140625" defaultRowHeight="15" x14ac:dyDescent="0.25"/>
  <cols>
    <col min="1" max="1" width="8.7109375" style="29" customWidth="1"/>
    <col min="2" max="2" width="16.7109375" style="29" customWidth="1"/>
    <col min="3" max="10" width="9.140625" style="29" customWidth="1"/>
    <col min="11" max="11" width="10.7109375" style="29" customWidth="1"/>
    <col min="12" max="16384" width="9.140625" style="29"/>
  </cols>
  <sheetData>
    <row r="1" spans="1:13" x14ac:dyDescent="0.25">
      <c r="A1" s="7">
        <v>28</v>
      </c>
      <c r="B1" s="41" t="s">
        <v>12</v>
      </c>
      <c r="C1" s="28"/>
      <c r="D1" s="28"/>
      <c r="E1" s="28"/>
      <c r="F1" s="28"/>
      <c r="G1" s="28"/>
      <c r="H1" s="28"/>
      <c r="I1" s="388" t="s">
        <v>30</v>
      </c>
      <c r="J1" s="390"/>
      <c r="L1" s="29" t="s">
        <v>54</v>
      </c>
      <c r="M1" s="70" t="s">
        <v>883</v>
      </c>
    </row>
    <row r="2" spans="1:13" x14ac:dyDescent="0.25">
      <c r="A2" s="30"/>
      <c r="B2" s="27"/>
      <c r="C2" s="27"/>
      <c r="D2" s="27"/>
      <c r="E2" s="27"/>
      <c r="F2" s="27"/>
      <c r="G2" s="27"/>
      <c r="H2" s="27"/>
      <c r="I2" s="27"/>
      <c r="J2" s="31"/>
    </row>
    <row r="3" spans="1:13" x14ac:dyDescent="0.25">
      <c r="A3" s="8" t="s">
        <v>13</v>
      </c>
      <c r="B3" s="27"/>
      <c r="C3" s="27"/>
      <c r="D3" s="27"/>
      <c r="E3" s="27"/>
      <c r="F3" s="27"/>
      <c r="G3" s="27"/>
      <c r="H3" s="27"/>
      <c r="I3" s="27"/>
      <c r="J3" s="31"/>
    </row>
    <row r="4" spans="1:13" ht="15" customHeight="1" x14ac:dyDescent="0.25">
      <c r="A4" s="9">
        <f>INDEX('Point Grid'!B:B,MATCH($A$1,'Point Grid'!A:A,0))</f>
        <v>2.25</v>
      </c>
      <c r="B4" s="27"/>
      <c r="C4" s="27"/>
      <c r="D4" s="27"/>
      <c r="E4" s="27"/>
      <c r="F4" s="27"/>
      <c r="G4" s="27"/>
      <c r="H4" s="27"/>
      <c r="I4" s="27"/>
      <c r="J4" s="31"/>
      <c r="L4" s="57" t="s">
        <v>2</v>
      </c>
      <c r="M4" s="78" t="s">
        <v>180</v>
      </c>
    </row>
    <row r="5" spans="1:13" ht="15" customHeight="1" x14ac:dyDescent="0.25">
      <c r="A5" s="30"/>
      <c r="B5" s="27"/>
      <c r="C5" s="27"/>
      <c r="D5" s="27"/>
      <c r="E5" s="27"/>
      <c r="F5" s="27"/>
      <c r="G5" s="27"/>
      <c r="H5" s="27"/>
      <c r="I5" s="27"/>
      <c r="J5" s="31"/>
      <c r="M5" s="79" t="s">
        <v>181</v>
      </c>
    </row>
    <row r="6" spans="1:13" ht="15" customHeight="1" x14ac:dyDescent="0.25">
      <c r="A6" s="35" t="s">
        <v>2</v>
      </c>
      <c r="B6" s="27" t="s">
        <v>168</v>
      </c>
      <c r="C6" s="27"/>
      <c r="D6" s="27"/>
      <c r="E6" s="27"/>
      <c r="F6" s="27"/>
      <c r="G6" s="27"/>
      <c r="H6" s="27"/>
      <c r="I6" s="27"/>
      <c r="J6" s="31"/>
      <c r="M6" s="78" t="s">
        <v>182</v>
      </c>
    </row>
    <row r="7" spans="1:13" ht="15.75" thickBot="1" x14ac:dyDescent="0.3">
      <c r="A7" s="9">
        <f>INDEX('Point Grid'!$C$8:$I$35,MATCH($A$1,'Point Grid'!$A$8:$A$35,0),MATCH(A6,'Point Grid'!$C$7:$I$7,0))</f>
        <v>0.5</v>
      </c>
      <c r="B7" s="27"/>
      <c r="C7" s="27"/>
      <c r="D7" s="27"/>
      <c r="E7" s="27"/>
      <c r="F7" s="27"/>
      <c r="G7" s="27"/>
      <c r="H7" s="27"/>
      <c r="I7" s="27"/>
      <c r="J7" s="31"/>
    </row>
    <row r="8" spans="1:13" ht="15" customHeight="1" thickBot="1" x14ac:dyDescent="0.3">
      <c r="A8" s="5"/>
      <c r="B8" s="27"/>
      <c r="C8" s="27"/>
      <c r="D8" s="27"/>
      <c r="E8" s="27"/>
      <c r="F8" s="27"/>
      <c r="G8" s="27"/>
      <c r="H8" s="27"/>
      <c r="I8" s="27"/>
      <c r="J8" s="31"/>
      <c r="L8" s="57" t="s">
        <v>3</v>
      </c>
      <c r="M8" s="78" t="s">
        <v>183</v>
      </c>
    </row>
    <row r="9" spans="1:13" ht="15" customHeight="1" x14ac:dyDescent="0.25">
      <c r="A9" s="30"/>
      <c r="B9" s="27"/>
      <c r="C9" s="27"/>
      <c r="D9" s="27"/>
      <c r="E9" s="27"/>
      <c r="F9" s="27"/>
      <c r="G9" s="27"/>
      <c r="H9" s="27"/>
      <c r="I9" s="27"/>
      <c r="J9" s="31"/>
      <c r="M9" s="78" t="s">
        <v>184</v>
      </c>
    </row>
    <row r="10" spans="1:13" ht="15" customHeight="1" x14ac:dyDescent="0.25">
      <c r="A10" s="35" t="s">
        <v>3</v>
      </c>
      <c r="B10" s="27" t="s">
        <v>169</v>
      </c>
      <c r="C10" s="27"/>
      <c r="D10" s="27"/>
      <c r="E10" s="27"/>
      <c r="F10" s="27"/>
      <c r="G10" s="27"/>
      <c r="H10" s="27"/>
      <c r="I10" s="27"/>
      <c r="J10" s="31"/>
      <c r="M10" s="78" t="s">
        <v>185</v>
      </c>
    </row>
    <row r="11" spans="1:13" ht="15" customHeight="1" thickBot="1" x14ac:dyDescent="0.3">
      <c r="A11" s="9">
        <f>INDEX('Point Grid'!$C$8:$I$35,MATCH($A$1,'Point Grid'!$A$8:$A$35,0),MATCH(A10,'Point Grid'!$C$7:$I$7,0))</f>
        <v>1</v>
      </c>
      <c r="B11" s="27" t="s">
        <v>170</v>
      </c>
      <c r="C11" s="27"/>
      <c r="D11" s="27"/>
      <c r="E11" s="27"/>
      <c r="F11" s="27"/>
      <c r="G11" s="27"/>
      <c r="H11" s="27"/>
      <c r="I11" s="27"/>
      <c r="J11" s="31"/>
      <c r="M11" s="78" t="s">
        <v>186</v>
      </c>
    </row>
    <row r="12" spans="1:13" ht="15" customHeight="1" thickBot="1" x14ac:dyDescent="0.3">
      <c r="A12" s="5"/>
      <c r="B12" s="27" t="s">
        <v>171</v>
      </c>
      <c r="C12" s="27"/>
      <c r="D12" s="27"/>
      <c r="E12" s="27"/>
      <c r="F12" s="27"/>
      <c r="G12" s="27"/>
      <c r="H12" s="27"/>
      <c r="I12" s="27"/>
      <c r="J12" s="31"/>
      <c r="M12" s="78"/>
    </row>
    <row r="13" spans="1:13" ht="15" customHeight="1" x14ac:dyDescent="0.25">
      <c r="A13" s="30"/>
      <c r="B13" s="27"/>
      <c r="C13" s="27"/>
      <c r="D13" s="27"/>
      <c r="E13" s="27"/>
      <c r="F13" s="27"/>
      <c r="G13" s="27"/>
      <c r="H13" s="27"/>
      <c r="I13" s="27"/>
      <c r="J13" s="31"/>
      <c r="M13" s="78" t="s">
        <v>187</v>
      </c>
    </row>
    <row r="14" spans="1:13" ht="15" customHeight="1" x14ac:dyDescent="0.25">
      <c r="A14" s="30"/>
      <c r="B14" s="27" t="s">
        <v>172</v>
      </c>
      <c r="C14" s="27"/>
      <c r="D14" s="27"/>
      <c r="E14" s="27"/>
      <c r="F14" s="27"/>
      <c r="G14" s="27"/>
      <c r="H14" s="27"/>
      <c r="I14" s="27"/>
      <c r="J14" s="31"/>
      <c r="M14" s="78" t="s">
        <v>188</v>
      </c>
    </row>
    <row r="15" spans="1:13" ht="15" customHeight="1" x14ac:dyDescent="0.25">
      <c r="A15" s="30"/>
      <c r="B15" s="27" t="s">
        <v>173</v>
      </c>
      <c r="C15" s="27"/>
      <c r="D15" s="27"/>
      <c r="E15" s="27"/>
      <c r="F15" s="27"/>
      <c r="G15" s="27"/>
      <c r="H15" s="27"/>
      <c r="I15" s="27"/>
      <c r="J15" s="31"/>
      <c r="M15" s="78" t="s">
        <v>189</v>
      </c>
    </row>
    <row r="16" spans="1:13" ht="15" customHeight="1" x14ac:dyDescent="0.25">
      <c r="A16" s="30"/>
      <c r="B16" s="27" t="s">
        <v>174</v>
      </c>
      <c r="C16" s="27"/>
      <c r="D16" s="27"/>
      <c r="E16" s="27"/>
      <c r="F16" s="27"/>
      <c r="G16" s="27"/>
      <c r="H16" s="27"/>
      <c r="I16" s="27"/>
      <c r="J16" s="31"/>
      <c r="M16" s="78" t="s">
        <v>190</v>
      </c>
    </row>
    <row r="17" spans="1:13" ht="15" customHeight="1" x14ac:dyDescent="0.25">
      <c r="A17" s="30"/>
      <c r="B17" s="27"/>
      <c r="C17" s="27"/>
      <c r="D17" s="27"/>
      <c r="E17" s="27"/>
      <c r="F17" s="27"/>
      <c r="G17" s="27"/>
      <c r="H17" s="27"/>
      <c r="I17" s="27"/>
      <c r="J17" s="31"/>
      <c r="M17" s="78" t="s">
        <v>191</v>
      </c>
    </row>
    <row r="18" spans="1:13" ht="15" customHeight="1" x14ac:dyDescent="0.25">
      <c r="A18" s="30"/>
      <c r="B18" s="27" t="s">
        <v>175</v>
      </c>
      <c r="C18" s="27"/>
      <c r="D18" s="27"/>
      <c r="E18" s="27"/>
      <c r="F18" s="27"/>
      <c r="G18" s="27"/>
      <c r="H18" s="27"/>
      <c r="I18" s="27"/>
      <c r="J18" s="31"/>
      <c r="M18" s="78"/>
    </row>
    <row r="19" spans="1:13" ht="15" customHeight="1" x14ac:dyDescent="0.25">
      <c r="A19" s="30"/>
      <c r="B19" s="27" t="s">
        <v>176</v>
      </c>
      <c r="C19" s="27"/>
      <c r="D19" s="27"/>
      <c r="E19" s="27"/>
      <c r="F19" s="27"/>
      <c r="G19" s="27"/>
      <c r="H19" s="27"/>
      <c r="I19" s="27"/>
      <c r="J19" s="31"/>
      <c r="M19" s="80" t="s">
        <v>192</v>
      </c>
    </row>
    <row r="20" spans="1:13" ht="15" customHeight="1" x14ac:dyDescent="0.25">
      <c r="A20" s="30"/>
      <c r="B20" s="27" t="s">
        <v>177</v>
      </c>
      <c r="C20" s="27"/>
      <c r="D20" s="27"/>
      <c r="E20" s="27"/>
      <c r="F20" s="27"/>
      <c r="G20" s="27"/>
      <c r="H20" s="27"/>
      <c r="I20" s="27"/>
      <c r="J20" s="31"/>
      <c r="M20" s="78" t="s">
        <v>193</v>
      </c>
    </row>
    <row r="21" spans="1:13" ht="15" customHeight="1" x14ac:dyDescent="0.25">
      <c r="A21" s="30"/>
      <c r="B21" s="27"/>
      <c r="C21" s="27"/>
      <c r="D21" s="27"/>
      <c r="E21" s="27"/>
      <c r="F21" s="27"/>
      <c r="G21" s="27"/>
      <c r="H21" s="27"/>
      <c r="I21" s="27"/>
      <c r="J21" s="31"/>
      <c r="M21" s="78" t="s">
        <v>194</v>
      </c>
    </row>
    <row r="22" spans="1:13" ht="15" customHeight="1" x14ac:dyDescent="0.25">
      <c r="A22" s="35" t="s">
        <v>4</v>
      </c>
      <c r="B22" s="27" t="s">
        <v>178</v>
      </c>
      <c r="C22" s="27"/>
      <c r="D22" s="27"/>
      <c r="E22" s="27"/>
      <c r="F22" s="27"/>
      <c r="G22" s="27"/>
      <c r="H22" s="27"/>
      <c r="I22" s="27"/>
      <c r="J22" s="31"/>
      <c r="M22" s="78" t="s">
        <v>195</v>
      </c>
    </row>
    <row r="23" spans="1:13" ht="15" customHeight="1" thickBot="1" x14ac:dyDescent="0.3">
      <c r="A23" s="9">
        <f>INDEX('Point Grid'!$C$8:$I$35,MATCH($A$1,'Point Grid'!$A$8:$A$35,0),MATCH(A22,'Point Grid'!$C$7:$I$7,0))</f>
        <v>0.75</v>
      </c>
      <c r="B23" s="27" t="s">
        <v>179</v>
      </c>
      <c r="C23" s="27"/>
      <c r="D23" s="27"/>
      <c r="E23" s="27"/>
      <c r="F23" s="27"/>
      <c r="G23" s="27"/>
      <c r="H23" s="27"/>
      <c r="I23" s="27"/>
      <c r="J23" s="31"/>
      <c r="M23" s="78" t="s">
        <v>196</v>
      </c>
    </row>
    <row r="24" spans="1:13" ht="15.75" thickBot="1" x14ac:dyDescent="0.3">
      <c r="A24" s="5"/>
      <c r="B24" s="27"/>
      <c r="C24" s="27"/>
      <c r="D24" s="27"/>
      <c r="E24" s="27"/>
      <c r="F24" s="27"/>
      <c r="G24" s="27"/>
      <c r="H24" s="27"/>
      <c r="I24" s="27"/>
      <c r="J24" s="31"/>
    </row>
    <row r="25" spans="1:13" ht="15" customHeight="1" x14ac:dyDescent="0.25">
      <c r="A25" s="30"/>
      <c r="B25" s="27"/>
      <c r="C25" s="27"/>
      <c r="D25" s="27"/>
      <c r="E25" s="27"/>
      <c r="F25" s="27"/>
      <c r="G25" s="27"/>
      <c r="H25" s="27"/>
      <c r="I25" s="27"/>
      <c r="J25" s="31"/>
      <c r="L25" s="57" t="s">
        <v>4</v>
      </c>
      <c r="M25" s="78" t="s">
        <v>197</v>
      </c>
    </row>
    <row r="26" spans="1:13" ht="15" customHeight="1" x14ac:dyDescent="0.25">
      <c r="A26" s="30"/>
      <c r="B26" s="27"/>
      <c r="C26" s="27"/>
      <c r="D26" s="27"/>
      <c r="E26" s="27"/>
      <c r="F26" s="27"/>
      <c r="G26" s="27"/>
      <c r="H26" s="27"/>
      <c r="I26" s="27"/>
      <c r="J26" s="31"/>
      <c r="M26" s="78" t="s">
        <v>198</v>
      </c>
    </row>
    <row r="27" spans="1:13" ht="15" customHeight="1" x14ac:dyDescent="0.25">
      <c r="A27" s="30"/>
      <c r="B27" s="27"/>
      <c r="C27" s="27"/>
      <c r="D27" s="27"/>
      <c r="E27" s="27"/>
      <c r="F27" s="27"/>
      <c r="G27" s="27"/>
      <c r="H27" s="27"/>
      <c r="I27" s="27"/>
      <c r="J27" s="31"/>
      <c r="M27" s="78" t="s">
        <v>199</v>
      </c>
    </row>
    <row r="28" spans="1:13" x14ac:dyDescent="0.25">
      <c r="A28" s="30"/>
      <c r="B28" s="27"/>
      <c r="C28" s="27"/>
      <c r="D28" s="27"/>
      <c r="E28" s="27"/>
      <c r="F28" s="27"/>
      <c r="G28" s="27"/>
      <c r="H28" s="27"/>
      <c r="I28" s="27"/>
      <c r="J28" s="31"/>
    </row>
    <row r="29" spans="1:13" ht="15.75" thickBot="1" x14ac:dyDescent="0.3">
      <c r="A29" s="32"/>
      <c r="B29" s="33"/>
      <c r="C29" s="33"/>
      <c r="D29" s="33"/>
      <c r="E29" s="33"/>
      <c r="F29" s="33"/>
      <c r="G29" s="33"/>
      <c r="H29" s="33"/>
      <c r="I29" s="33"/>
      <c r="J29" s="34"/>
    </row>
  </sheetData>
  <mergeCells count="1">
    <mergeCell ref="I1:J1"/>
  </mergeCells>
  <conditionalFormatting sqref="B1">
    <cfRule type="cellIs" dxfId="2" priority="1" operator="equal">
      <formula>"Incomplete"</formula>
    </cfRule>
    <cfRule type="cellIs" dxfId="1" priority="2" operator="equal">
      <formula>"Flag for Review"</formula>
    </cfRule>
    <cfRule type="cellIs" dxfId="0"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F39"/>
  <sheetViews>
    <sheetView workbookViewId="0"/>
  </sheetViews>
  <sheetFormatPr defaultColWidth="9.140625" defaultRowHeight="15" x14ac:dyDescent="0.25"/>
  <cols>
    <col min="1" max="1" width="9.140625" style="29"/>
    <col min="2" max="2" width="16" style="29" bestFit="1" customWidth="1"/>
    <col min="3" max="10" width="10.140625" style="29" customWidth="1"/>
    <col min="11" max="16384" width="9.140625" style="29"/>
  </cols>
  <sheetData>
    <row r="1" spans="1:32" x14ac:dyDescent="0.25">
      <c r="A1" s="7">
        <v>2</v>
      </c>
      <c r="B1" s="41" t="s">
        <v>12</v>
      </c>
      <c r="C1" s="28"/>
      <c r="D1" s="28"/>
      <c r="E1" s="28"/>
      <c r="F1" s="28"/>
      <c r="G1" s="28"/>
      <c r="H1" s="28"/>
      <c r="I1" s="388" t="s">
        <v>30</v>
      </c>
      <c r="J1" s="390"/>
      <c r="K1"/>
      <c r="L1" s="29" t="s">
        <v>54</v>
      </c>
      <c r="M1" s="70" t="s">
        <v>945</v>
      </c>
      <c r="N1"/>
      <c r="O1"/>
      <c r="P1"/>
      <c r="Q1"/>
      <c r="R1"/>
      <c r="S1"/>
      <c r="T1"/>
      <c r="U1"/>
      <c r="V1"/>
      <c r="W1"/>
      <c r="X1"/>
      <c r="Y1"/>
      <c r="Z1"/>
      <c r="AA1"/>
      <c r="AB1"/>
      <c r="AC1"/>
      <c r="AD1"/>
      <c r="AE1"/>
      <c r="AF1"/>
    </row>
    <row r="2" spans="1:32" x14ac:dyDescent="0.25">
      <c r="A2" s="30"/>
      <c r="B2" s="27"/>
      <c r="C2" s="27"/>
      <c r="D2" s="27"/>
      <c r="E2" s="27"/>
      <c r="F2" s="27"/>
      <c r="G2" s="27"/>
      <c r="H2" s="27"/>
      <c r="I2" s="27"/>
      <c r="J2" s="31"/>
      <c r="K2"/>
      <c r="L2"/>
      <c r="M2"/>
      <c r="N2"/>
      <c r="O2"/>
      <c r="P2"/>
      <c r="Q2"/>
      <c r="R2"/>
      <c r="S2"/>
      <c r="T2"/>
      <c r="U2"/>
      <c r="V2"/>
      <c r="W2"/>
      <c r="X2"/>
      <c r="Y2"/>
      <c r="Z2"/>
      <c r="AA2"/>
      <c r="AB2"/>
      <c r="AC2"/>
      <c r="AD2"/>
      <c r="AE2"/>
      <c r="AF2"/>
    </row>
    <row r="3" spans="1:32" x14ac:dyDescent="0.25">
      <c r="A3" s="8" t="s">
        <v>13</v>
      </c>
      <c r="B3" s="27" t="s">
        <v>940</v>
      </c>
      <c r="C3" s="27"/>
      <c r="D3" s="27"/>
      <c r="E3" s="27"/>
      <c r="F3" s="27"/>
      <c r="G3" s="27"/>
      <c r="H3" s="27"/>
      <c r="I3" s="27"/>
      <c r="J3" s="31"/>
      <c r="K3"/>
      <c r="L3"/>
      <c r="M3"/>
      <c r="N3"/>
      <c r="O3"/>
      <c r="P3"/>
      <c r="Q3"/>
      <c r="R3"/>
      <c r="S3"/>
      <c r="T3"/>
      <c r="U3"/>
      <c r="V3"/>
      <c r="W3"/>
      <c r="X3"/>
      <c r="Y3"/>
      <c r="Z3"/>
      <c r="AA3"/>
      <c r="AB3"/>
      <c r="AC3"/>
      <c r="AD3"/>
      <c r="AE3"/>
      <c r="AF3"/>
    </row>
    <row r="4" spans="1:32" x14ac:dyDescent="0.25">
      <c r="A4" s="9">
        <f>INDEX('Point Grid'!B:B,MATCH('2'!A1,'Point Grid'!A:A,0))</f>
        <v>1</v>
      </c>
      <c r="B4" s="27"/>
      <c r="C4" s="27"/>
      <c r="D4" s="27"/>
      <c r="E4" s="27"/>
      <c r="F4" s="27"/>
      <c r="G4" s="27"/>
      <c r="H4" s="27"/>
      <c r="I4" s="27"/>
      <c r="J4" s="31"/>
      <c r="K4"/>
      <c r="L4" s="57" t="s">
        <v>2</v>
      </c>
      <c r="M4" t="s">
        <v>949</v>
      </c>
      <c r="N4"/>
      <c r="O4"/>
      <c r="P4"/>
      <c r="Q4"/>
      <c r="R4"/>
      <c r="S4"/>
      <c r="T4"/>
      <c r="U4"/>
      <c r="V4"/>
      <c r="W4"/>
      <c r="X4"/>
      <c r="Y4"/>
      <c r="Z4"/>
      <c r="AA4"/>
      <c r="AB4"/>
      <c r="AC4"/>
      <c r="AD4"/>
      <c r="AE4"/>
      <c r="AF4"/>
    </row>
    <row r="5" spans="1:32" x14ac:dyDescent="0.25">
      <c r="A5" s="27"/>
      <c r="B5" s="27"/>
      <c r="C5" s="27"/>
      <c r="D5" s="27"/>
      <c r="E5" s="27"/>
      <c r="F5" s="27"/>
      <c r="G5" s="27"/>
      <c r="H5" s="27"/>
      <c r="I5" s="27"/>
      <c r="J5" s="31"/>
      <c r="K5"/>
      <c r="M5"/>
      <c r="N5"/>
      <c r="O5"/>
      <c r="P5"/>
      <c r="Q5"/>
      <c r="R5"/>
      <c r="S5"/>
      <c r="T5"/>
      <c r="U5"/>
      <c r="V5"/>
      <c r="W5"/>
      <c r="X5"/>
      <c r="Y5"/>
      <c r="Z5"/>
      <c r="AA5"/>
      <c r="AB5"/>
      <c r="AC5"/>
      <c r="AD5"/>
      <c r="AE5"/>
      <c r="AF5"/>
    </row>
    <row r="6" spans="1:32" x14ac:dyDescent="0.25">
      <c r="A6" s="35" t="s">
        <v>2</v>
      </c>
      <c r="B6" s="27" t="s">
        <v>941</v>
      </c>
      <c r="C6" s="27"/>
      <c r="D6" s="27"/>
      <c r="E6" s="27"/>
      <c r="F6" s="27"/>
      <c r="G6" s="27"/>
      <c r="H6" s="27"/>
      <c r="I6" s="27"/>
      <c r="J6" s="31"/>
      <c r="K6"/>
      <c r="M6" s="43" t="s">
        <v>946</v>
      </c>
      <c r="N6"/>
      <c r="O6"/>
      <c r="P6"/>
      <c r="Q6"/>
      <c r="R6"/>
      <c r="S6"/>
      <c r="T6"/>
      <c r="U6"/>
      <c r="V6"/>
      <c r="W6"/>
      <c r="X6"/>
      <c r="Y6"/>
      <c r="Z6"/>
      <c r="AA6"/>
      <c r="AB6"/>
      <c r="AC6"/>
      <c r="AD6"/>
      <c r="AE6"/>
      <c r="AF6"/>
    </row>
    <row r="7" spans="1:32" ht="15.75" thickBot="1" x14ac:dyDescent="0.3">
      <c r="A7" s="9">
        <f>INDEX('Point Grid'!$C$8:$I$35,MATCH($A$1,'Point Grid'!$A$8:$A$35,0),MATCH(A6,'Point Grid'!$C$7:$I$7,0))</f>
        <v>0.5</v>
      </c>
      <c r="B7" s="27" t="s">
        <v>950</v>
      </c>
      <c r="C7" s="27"/>
      <c r="D7" s="27"/>
      <c r="E7" s="27"/>
      <c r="F7" s="27"/>
      <c r="G7" s="27"/>
      <c r="H7" s="27"/>
      <c r="I7" s="27"/>
      <c r="J7" s="31"/>
      <c r="K7"/>
      <c r="M7" s="43" t="s">
        <v>947</v>
      </c>
      <c r="N7"/>
      <c r="O7"/>
      <c r="P7"/>
      <c r="Q7"/>
      <c r="R7"/>
      <c r="S7"/>
      <c r="T7"/>
      <c r="U7"/>
      <c r="V7"/>
      <c r="W7"/>
      <c r="X7"/>
      <c r="Y7"/>
      <c r="Z7"/>
      <c r="AA7"/>
      <c r="AB7"/>
      <c r="AC7"/>
      <c r="AD7"/>
      <c r="AE7"/>
      <c r="AF7"/>
    </row>
    <row r="8" spans="1:32" ht="15.75" thickBot="1" x14ac:dyDescent="0.3">
      <c r="A8" s="5"/>
      <c r="B8" s="27"/>
      <c r="C8" s="27"/>
      <c r="D8" s="27"/>
      <c r="E8" s="27"/>
      <c r="F8" s="27"/>
      <c r="G8" s="27"/>
      <c r="H8" s="27"/>
      <c r="I8" s="27"/>
      <c r="J8" s="31"/>
      <c r="K8"/>
      <c r="M8" s="43" t="s">
        <v>948</v>
      </c>
      <c r="N8"/>
      <c r="O8"/>
      <c r="P8"/>
      <c r="Q8"/>
      <c r="R8"/>
      <c r="S8"/>
      <c r="T8"/>
      <c r="U8"/>
      <c r="V8"/>
      <c r="W8"/>
      <c r="X8"/>
      <c r="Y8"/>
      <c r="Z8"/>
      <c r="AA8"/>
      <c r="AB8"/>
      <c r="AC8"/>
      <c r="AD8"/>
      <c r="AE8"/>
      <c r="AF8"/>
    </row>
    <row r="9" spans="1:32" x14ac:dyDescent="0.25">
      <c r="A9" s="30"/>
      <c r="B9" s="27"/>
      <c r="C9" s="27"/>
      <c r="D9" s="27"/>
      <c r="E9" s="27"/>
      <c r="F9" s="27"/>
      <c r="G9" s="27"/>
      <c r="H9" s="27"/>
      <c r="I9" s="27"/>
      <c r="J9" s="31"/>
      <c r="K9"/>
      <c r="L9"/>
      <c r="M9"/>
      <c r="N9"/>
      <c r="O9"/>
      <c r="P9"/>
      <c r="Q9"/>
      <c r="R9"/>
      <c r="S9"/>
      <c r="T9"/>
      <c r="U9"/>
      <c r="V9"/>
      <c r="W9"/>
      <c r="X9"/>
      <c r="Y9"/>
      <c r="Z9"/>
      <c r="AA9"/>
      <c r="AB9"/>
      <c r="AC9"/>
      <c r="AD9"/>
      <c r="AE9"/>
      <c r="AF9"/>
    </row>
    <row r="10" spans="1:32" x14ac:dyDescent="0.25">
      <c r="A10" s="35" t="s">
        <v>3</v>
      </c>
      <c r="B10" s="27" t="s">
        <v>943</v>
      </c>
      <c r="C10" s="27"/>
      <c r="D10" s="27"/>
      <c r="E10" s="27"/>
      <c r="F10" s="27"/>
      <c r="G10" s="27"/>
      <c r="H10" s="27"/>
      <c r="I10" s="27"/>
      <c r="J10" s="31"/>
      <c r="K10"/>
      <c r="L10" s="57" t="s">
        <v>3</v>
      </c>
      <c r="M10" s="43" t="s">
        <v>951</v>
      </c>
      <c r="N10"/>
      <c r="O10"/>
      <c r="P10"/>
      <c r="Q10"/>
      <c r="R10"/>
      <c r="S10"/>
      <c r="T10"/>
      <c r="U10"/>
      <c r="V10"/>
      <c r="W10"/>
      <c r="X10"/>
      <c r="Y10"/>
      <c r="Z10"/>
      <c r="AA10"/>
      <c r="AB10"/>
      <c r="AC10"/>
      <c r="AD10"/>
      <c r="AE10"/>
      <c r="AF10"/>
    </row>
    <row r="11" spans="1:32" ht="15.75" thickBot="1" x14ac:dyDescent="0.3">
      <c r="A11" s="9">
        <f>INDEX('Point Grid'!$C$8:$I$35,MATCH($A$1,'Point Grid'!$A$8:$A$35,0),MATCH(A10,'Point Grid'!$C$7:$I$7,0))</f>
        <v>0.5</v>
      </c>
      <c r="B11" s="27" t="s">
        <v>944</v>
      </c>
      <c r="C11" s="27"/>
      <c r="D11" s="27"/>
      <c r="E11" s="27"/>
      <c r="F11" s="27"/>
      <c r="G11" s="27"/>
      <c r="H11" s="27"/>
      <c r="I11" s="27"/>
      <c r="J11" s="31"/>
      <c r="K11"/>
      <c r="L11"/>
      <c r="M11" t="s">
        <v>952</v>
      </c>
      <c r="N11"/>
      <c r="O11"/>
      <c r="P11"/>
      <c r="Q11"/>
      <c r="R11"/>
      <c r="S11"/>
      <c r="T11"/>
      <c r="U11"/>
      <c r="V11"/>
      <c r="W11"/>
      <c r="X11"/>
      <c r="Y11"/>
      <c r="Z11"/>
      <c r="AA11"/>
      <c r="AB11"/>
      <c r="AC11"/>
      <c r="AD11"/>
      <c r="AE11"/>
      <c r="AF11"/>
    </row>
    <row r="12" spans="1:32" ht="15.75" thickBot="1" x14ac:dyDescent="0.3">
      <c r="A12" s="5"/>
      <c r="B12" s="27" t="s">
        <v>942</v>
      </c>
      <c r="C12" s="27"/>
      <c r="D12" s="27"/>
      <c r="E12" s="27"/>
      <c r="F12" s="27"/>
      <c r="G12" s="27"/>
      <c r="H12" s="27"/>
      <c r="I12" s="27"/>
      <c r="J12" s="31"/>
      <c r="K12"/>
      <c r="L12"/>
      <c r="M12"/>
      <c r="N12"/>
      <c r="O12"/>
      <c r="P12"/>
      <c r="Q12"/>
      <c r="R12"/>
      <c r="S12"/>
      <c r="T12"/>
      <c r="U12"/>
      <c r="V12"/>
      <c r="W12"/>
      <c r="X12"/>
      <c r="Y12"/>
      <c r="Z12"/>
      <c r="AA12"/>
      <c r="AB12"/>
      <c r="AC12"/>
      <c r="AD12"/>
      <c r="AE12"/>
      <c r="AF12"/>
    </row>
    <row r="13" spans="1:32" ht="15.75" thickBot="1" x14ac:dyDescent="0.3">
      <c r="A13" s="32"/>
      <c r="B13" s="33"/>
      <c r="C13" s="33"/>
      <c r="D13" s="33"/>
      <c r="E13" s="33"/>
      <c r="F13" s="33"/>
      <c r="G13" s="33"/>
      <c r="H13" s="33"/>
      <c r="I13" s="33"/>
      <c r="J13" s="34"/>
      <c r="K13"/>
      <c r="L13"/>
      <c r="M13"/>
      <c r="N13"/>
      <c r="O13"/>
      <c r="P13"/>
      <c r="Q13"/>
      <c r="R13"/>
      <c r="S13"/>
      <c r="T13"/>
      <c r="U13"/>
      <c r="V13"/>
      <c r="W13"/>
      <c r="X13"/>
      <c r="Y13"/>
      <c r="Z13"/>
      <c r="AA13"/>
      <c r="AB13"/>
      <c r="AC13"/>
      <c r="AD13"/>
      <c r="AE13"/>
      <c r="AF13"/>
    </row>
    <row r="14" spans="1:32" x14ac:dyDescent="0.25">
      <c r="A14"/>
      <c r="B14"/>
      <c r="C14"/>
      <c r="D14"/>
      <c r="E14"/>
      <c r="F14"/>
      <c r="G14"/>
      <c r="H14"/>
      <c r="I14"/>
      <c r="J14"/>
      <c r="K14"/>
      <c r="L14"/>
      <c r="M14"/>
      <c r="N14"/>
      <c r="O14"/>
      <c r="P14"/>
      <c r="Q14"/>
      <c r="R14"/>
      <c r="S14"/>
      <c r="T14"/>
      <c r="U14"/>
      <c r="V14"/>
      <c r="W14"/>
      <c r="X14"/>
      <c r="Y14"/>
      <c r="Z14"/>
      <c r="AA14"/>
      <c r="AB14"/>
      <c r="AC14"/>
      <c r="AD14"/>
      <c r="AE14"/>
      <c r="AF14"/>
    </row>
    <row r="15" spans="1:32" x14ac:dyDescent="0.25">
      <c r="A15"/>
      <c r="B15"/>
      <c r="C15"/>
      <c r="D15"/>
      <c r="E15"/>
      <c r="F15"/>
      <c r="G15"/>
      <c r="H15"/>
      <c r="I15"/>
      <c r="J15"/>
      <c r="K15"/>
      <c r="L15"/>
      <c r="M15"/>
      <c r="N15"/>
      <c r="O15"/>
      <c r="P15"/>
      <c r="Q15"/>
      <c r="R15"/>
      <c r="S15"/>
      <c r="T15"/>
      <c r="U15"/>
      <c r="V15"/>
      <c r="W15"/>
      <c r="X15"/>
      <c r="Y15"/>
      <c r="Z15"/>
      <c r="AA15"/>
      <c r="AB15"/>
      <c r="AC15"/>
      <c r="AD15"/>
      <c r="AE15"/>
      <c r="AF15"/>
    </row>
    <row r="16" spans="1:32" x14ac:dyDescent="0.25">
      <c r="A16"/>
      <c r="B16"/>
      <c r="C16"/>
      <c r="D16"/>
      <c r="E16"/>
      <c r="F16"/>
      <c r="G16"/>
      <c r="H16"/>
      <c r="I16"/>
      <c r="J16"/>
      <c r="K16"/>
      <c r="L16"/>
      <c r="M16"/>
      <c r="N16"/>
      <c r="O16"/>
      <c r="P16"/>
      <c r="Q16"/>
      <c r="R16"/>
      <c r="S16"/>
      <c r="T16"/>
      <c r="U16"/>
      <c r="V16"/>
      <c r="W16"/>
      <c r="X16"/>
      <c r="Y16"/>
      <c r="Z16"/>
      <c r="AA16"/>
      <c r="AB16"/>
      <c r="AC16"/>
      <c r="AD16"/>
      <c r="AE16"/>
      <c r="AF16"/>
    </row>
    <row r="17" spans="1:32" x14ac:dyDescent="0.25">
      <c r="A17"/>
      <c r="B17"/>
      <c r="C17"/>
      <c r="D17"/>
      <c r="E17"/>
      <c r="F17"/>
      <c r="G17"/>
      <c r="H17"/>
      <c r="I17"/>
      <c r="J17"/>
      <c r="K17"/>
      <c r="L17"/>
      <c r="M17"/>
      <c r="N17"/>
      <c r="O17"/>
      <c r="P17"/>
      <c r="Q17"/>
      <c r="R17"/>
      <c r="S17"/>
      <c r="T17"/>
      <c r="U17"/>
      <c r="V17"/>
      <c r="W17"/>
      <c r="X17"/>
      <c r="Y17"/>
      <c r="Z17"/>
      <c r="AA17"/>
      <c r="AB17"/>
      <c r="AC17"/>
      <c r="AD17"/>
      <c r="AE17"/>
      <c r="AF17"/>
    </row>
    <row r="18" spans="1:32" x14ac:dyDescent="0.25">
      <c r="A18"/>
      <c r="B18"/>
      <c r="C18"/>
      <c r="D18"/>
      <c r="E18"/>
      <c r="F18"/>
      <c r="G18"/>
      <c r="H18"/>
      <c r="I18"/>
      <c r="J18"/>
      <c r="K18"/>
      <c r="L18"/>
      <c r="M18"/>
      <c r="N18"/>
      <c r="O18"/>
      <c r="P18"/>
      <c r="Q18" s="1"/>
      <c r="R18"/>
      <c r="S18"/>
      <c r="T18"/>
      <c r="U18"/>
      <c r="V18"/>
      <c r="W18"/>
      <c r="X18"/>
      <c r="Y18"/>
      <c r="Z18"/>
      <c r="AA18"/>
      <c r="AB18"/>
      <c r="AC18"/>
      <c r="AD18"/>
      <c r="AE18"/>
      <c r="AF18"/>
    </row>
    <row r="19" spans="1:32" x14ac:dyDescent="0.25">
      <c r="A19"/>
      <c r="B19"/>
      <c r="C19"/>
      <c r="D19"/>
      <c r="E19"/>
      <c r="F19"/>
      <c r="G19"/>
      <c r="H19"/>
      <c r="I19"/>
      <c r="J19"/>
      <c r="K19"/>
      <c r="L19"/>
      <c r="M19"/>
      <c r="N19"/>
      <c r="O19"/>
      <c r="P19"/>
      <c r="Q19" s="359"/>
      <c r="R19"/>
      <c r="S19"/>
      <c r="T19"/>
      <c r="U19"/>
      <c r="V19"/>
      <c r="W19"/>
      <c r="X19"/>
      <c r="Y19"/>
      <c r="Z19"/>
      <c r="AA19"/>
      <c r="AB19"/>
      <c r="AC19"/>
      <c r="AD19"/>
      <c r="AE19"/>
      <c r="AF19"/>
    </row>
    <row r="20" spans="1:32" x14ac:dyDescent="0.25">
      <c r="A20"/>
      <c r="B20"/>
      <c r="C20"/>
      <c r="D20"/>
      <c r="E20"/>
      <c r="F20"/>
      <c r="G20"/>
      <c r="H20"/>
      <c r="I20"/>
      <c r="J20"/>
      <c r="K20"/>
      <c r="L20"/>
      <c r="M20"/>
      <c r="N20"/>
      <c r="O20"/>
      <c r="P20"/>
      <c r="R20"/>
      <c r="S20"/>
      <c r="T20"/>
      <c r="U20"/>
      <c r="V20"/>
      <c r="W20"/>
      <c r="X20"/>
      <c r="Y20"/>
      <c r="Z20"/>
      <c r="AA20"/>
      <c r="AB20"/>
      <c r="AC20"/>
      <c r="AD20"/>
      <c r="AE20"/>
      <c r="AF20"/>
    </row>
    <row r="21" spans="1:32" x14ac:dyDescent="0.25">
      <c r="A21"/>
      <c r="B21"/>
      <c r="C21"/>
      <c r="D21"/>
      <c r="E21"/>
      <c r="F21"/>
      <c r="G21"/>
      <c r="H21"/>
      <c r="I21"/>
      <c r="J21"/>
      <c r="K21"/>
      <c r="L21"/>
      <c r="M21"/>
      <c r="N21"/>
      <c r="O21"/>
      <c r="P21"/>
      <c r="R21"/>
      <c r="S21"/>
      <c r="T21"/>
      <c r="U21"/>
      <c r="V21"/>
      <c r="W21"/>
      <c r="X21"/>
      <c r="Y21"/>
      <c r="Z21"/>
      <c r="AA21"/>
      <c r="AB21"/>
      <c r="AC21"/>
      <c r="AD21"/>
      <c r="AE21"/>
      <c r="AF21"/>
    </row>
    <row r="22" spans="1:32" x14ac:dyDescent="0.25">
      <c r="A22"/>
      <c r="B22"/>
      <c r="C22"/>
      <c r="D22"/>
      <c r="E22"/>
      <c r="F22"/>
      <c r="G22"/>
      <c r="H22"/>
      <c r="I22"/>
      <c r="J22"/>
      <c r="K22"/>
      <c r="L22"/>
      <c r="M22"/>
      <c r="N22"/>
      <c r="O22"/>
      <c r="P22"/>
      <c r="R22"/>
      <c r="S22"/>
      <c r="T22"/>
      <c r="U22"/>
      <c r="V22"/>
      <c r="W22"/>
      <c r="X22"/>
      <c r="Y22"/>
      <c r="Z22"/>
      <c r="AA22"/>
      <c r="AB22"/>
      <c r="AC22"/>
      <c r="AD22"/>
      <c r="AE22"/>
      <c r="AF22"/>
    </row>
    <row r="23" spans="1:32" x14ac:dyDescent="0.25">
      <c r="A23"/>
      <c r="B23"/>
      <c r="C23"/>
      <c r="D23"/>
      <c r="E23"/>
      <c r="F23"/>
      <c r="G23"/>
      <c r="H23"/>
      <c r="I23"/>
      <c r="J23"/>
      <c r="K23"/>
      <c r="L23"/>
      <c r="O23"/>
      <c r="P23"/>
      <c r="Q23"/>
      <c r="R23"/>
      <c r="S23"/>
      <c r="T23"/>
      <c r="U23"/>
      <c r="V23"/>
      <c r="W23"/>
      <c r="X23"/>
      <c r="Y23"/>
      <c r="Z23"/>
      <c r="AA23"/>
      <c r="AB23"/>
      <c r="AC23"/>
      <c r="AD23"/>
      <c r="AE23"/>
      <c r="AF23"/>
    </row>
    <row r="24" spans="1:32" x14ac:dyDescent="0.25">
      <c r="A24"/>
      <c r="B24"/>
      <c r="C24"/>
      <c r="D24"/>
      <c r="E24"/>
      <c r="F24"/>
      <c r="G24"/>
      <c r="H24"/>
      <c r="I24"/>
      <c r="J24"/>
      <c r="K24"/>
      <c r="L24"/>
      <c r="O24"/>
      <c r="P24"/>
      <c r="Q24" s="1"/>
      <c r="R24"/>
      <c r="S24"/>
      <c r="T24"/>
      <c r="U24"/>
      <c r="V24"/>
      <c r="W24"/>
      <c r="X24"/>
      <c r="Y24"/>
      <c r="Z24"/>
      <c r="AA24"/>
      <c r="AB24"/>
      <c r="AC24"/>
      <c r="AD24"/>
      <c r="AE24"/>
      <c r="AF24"/>
    </row>
    <row r="25" spans="1:32" x14ac:dyDescent="0.25">
      <c r="A25"/>
      <c r="B25"/>
      <c r="C25"/>
      <c r="D25"/>
      <c r="E25"/>
      <c r="F25"/>
      <c r="G25"/>
      <c r="H25"/>
      <c r="I25"/>
      <c r="J25"/>
      <c r="K25"/>
      <c r="L25"/>
      <c r="O25"/>
      <c r="P25"/>
      <c r="Q25"/>
      <c r="R25"/>
      <c r="S25"/>
      <c r="T25"/>
      <c r="U25"/>
      <c r="V25"/>
      <c r="W25"/>
      <c r="X25"/>
      <c r="Y25"/>
      <c r="Z25"/>
      <c r="AA25"/>
      <c r="AB25"/>
      <c r="AC25"/>
      <c r="AD25"/>
      <c r="AE25"/>
      <c r="AF25"/>
    </row>
    <row r="26" spans="1:32" x14ac:dyDescent="0.25">
      <c r="A26"/>
      <c r="B26"/>
      <c r="C26"/>
      <c r="D26"/>
      <c r="E26"/>
      <c r="F26"/>
      <c r="G26"/>
      <c r="H26"/>
      <c r="I26"/>
      <c r="J26"/>
      <c r="K26"/>
      <c r="L26"/>
      <c r="O26"/>
      <c r="P26"/>
      <c r="Q26"/>
      <c r="R26"/>
      <c r="S26"/>
      <c r="T26"/>
      <c r="U26"/>
      <c r="V26"/>
      <c r="W26"/>
      <c r="X26"/>
      <c r="Y26"/>
      <c r="Z26"/>
      <c r="AA26"/>
      <c r="AB26"/>
      <c r="AC26"/>
      <c r="AD26"/>
      <c r="AE26"/>
      <c r="AF26"/>
    </row>
    <row r="27" spans="1:32" x14ac:dyDescent="0.25">
      <c r="A27"/>
      <c r="B27"/>
      <c r="C27"/>
      <c r="D27"/>
      <c r="E27"/>
      <c r="F27"/>
      <c r="G27"/>
      <c r="H27"/>
      <c r="I27"/>
      <c r="J27"/>
      <c r="K27"/>
      <c r="L27"/>
      <c r="O27"/>
      <c r="P27"/>
      <c r="Q27"/>
      <c r="R27"/>
      <c r="S27"/>
      <c r="T27"/>
      <c r="U27"/>
      <c r="V27"/>
      <c r="W27"/>
      <c r="X27"/>
      <c r="Y27"/>
      <c r="Z27"/>
      <c r="AA27"/>
      <c r="AB27"/>
      <c r="AC27"/>
      <c r="AD27"/>
      <c r="AE27"/>
      <c r="AF27"/>
    </row>
    <row r="28" spans="1:32" x14ac:dyDescent="0.25">
      <c r="A28"/>
      <c r="B28"/>
      <c r="C28"/>
      <c r="D28"/>
      <c r="E28"/>
      <c r="F28"/>
      <c r="G28"/>
      <c r="H28"/>
      <c r="I28"/>
      <c r="J28"/>
      <c r="K28"/>
      <c r="L28"/>
      <c r="O28"/>
      <c r="P28"/>
      <c r="Q28"/>
      <c r="R28"/>
      <c r="S28"/>
      <c r="T28"/>
      <c r="U28"/>
      <c r="V28"/>
      <c r="W28"/>
      <c r="X28"/>
      <c r="Y28"/>
      <c r="Z28"/>
      <c r="AA28"/>
      <c r="AB28"/>
      <c r="AC28"/>
      <c r="AD28"/>
      <c r="AE28"/>
      <c r="AF28"/>
    </row>
    <row r="29" spans="1:32" x14ac:dyDescent="0.25">
      <c r="A29"/>
      <c r="B29"/>
      <c r="C29"/>
      <c r="D29"/>
      <c r="E29"/>
      <c r="F29"/>
      <c r="G29"/>
      <c r="H29"/>
      <c r="I29"/>
      <c r="J29"/>
      <c r="K29"/>
      <c r="L29"/>
      <c r="O29"/>
      <c r="P29"/>
      <c r="Q29"/>
      <c r="R29"/>
      <c r="S29"/>
      <c r="T29"/>
      <c r="U29"/>
      <c r="V29"/>
      <c r="W29"/>
      <c r="X29"/>
      <c r="Y29"/>
      <c r="Z29"/>
      <c r="AA29"/>
      <c r="AB29"/>
      <c r="AC29"/>
      <c r="AD29"/>
      <c r="AE29"/>
      <c r="AF29"/>
    </row>
    <row r="30" spans="1:32" x14ac:dyDescent="0.25">
      <c r="A30"/>
      <c r="B30"/>
      <c r="C30"/>
      <c r="D30"/>
      <c r="E30"/>
      <c r="F30"/>
      <c r="G30"/>
      <c r="H30"/>
      <c r="I30"/>
      <c r="J30"/>
      <c r="K30"/>
      <c r="L30"/>
      <c r="O30"/>
      <c r="P30"/>
      <c r="Q30"/>
      <c r="R30"/>
      <c r="S30"/>
      <c r="T30"/>
      <c r="U30"/>
      <c r="V30"/>
      <c r="W30"/>
      <c r="X30"/>
      <c r="Y30"/>
      <c r="Z30"/>
      <c r="AA30"/>
      <c r="AB30"/>
      <c r="AC30"/>
      <c r="AD30"/>
      <c r="AE30"/>
      <c r="AF30"/>
    </row>
    <row r="31" spans="1:32" x14ac:dyDescent="0.25">
      <c r="A31"/>
      <c r="B31"/>
      <c r="C31"/>
      <c r="D31"/>
      <c r="E31"/>
      <c r="F31"/>
      <c r="G31"/>
      <c r="H31"/>
      <c r="I31"/>
      <c r="J31"/>
      <c r="K31"/>
      <c r="L31"/>
      <c r="O31"/>
      <c r="P31"/>
      <c r="Q31"/>
      <c r="R31"/>
      <c r="S31"/>
      <c r="T31"/>
      <c r="U31"/>
      <c r="V31"/>
      <c r="W31"/>
      <c r="X31"/>
      <c r="Y31"/>
      <c r="Z31"/>
      <c r="AA31"/>
      <c r="AB31"/>
      <c r="AC31"/>
      <c r="AD31"/>
      <c r="AE31"/>
      <c r="AF31"/>
    </row>
    <row r="32" spans="1:32" x14ac:dyDescent="0.25">
      <c r="A32"/>
      <c r="B32"/>
      <c r="C32"/>
      <c r="D32"/>
      <c r="E32"/>
      <c r="F32"/>
      <c r="G32"/>
      <c r="H32"/>
      <c r="I32"/>
      <c r="J32"/>
      <c r="K32"/>
      <c r="L32"/>
      <c r="O32"/>
      <c r="P32"/>
      <c r="Q32"/>
      <c r="R32"/>
      <c r="S32"/>
      <c r="T32"/>
      <c r="U32"/>
      <c r="V32"/>
      <c r="W32"/>
      <c r="X32"/>
      <c r="Y32"/>
      <c r="Z32"/>
      <c r="AA32"/>
      <c r="AB32"/>
      <c r="AC32"/>
      <c r="AD32"/>
      <c r="AE32"/>
      <c r="AF32"/>
    </row>
    <row r="33" spans="1:32" x14ac:dyDescent="0.25">
      <c r="A33"/>
      <c r="B33"/>
      <c r="C33"/>
      <c r="D33"/>
      <c r="E33"/>
      <c r="F33"/>
      <c r="G33"/>
      <c r="H33"/>
      <c r="I33"/>
      <c r="J33"/>
      <c r="K33"/>
      <c r="L33"/>
      <c r="O33"/>
      <c r="P33"/>
      <c r="Q33"/>
      <c r="R33"/>
      <c r="S33"/>
      <c r="T33"/>
      <c r="U33"/>
      <c r="V33"/>
      <c r="W33"/>
      <c r="X33"/>
      <c r="Y33"/>
      <c r="Z33"/>
      <c r="AA33"/>
      <c r="AB33"/>
      <c r="AC33"/>
      <c r="AD33"/>
      <c r="AE33"/>
      <c r="AF33"/>
    </row>
    <row r="34" spans="1:32" x14ac:dyDescent="0.25">
      <c r="A34"/>
      <c r="B34"/>
      <c r="C34"/>
      <c r="D34"/>
      <c r="E34"/>
      <c r="F34"/>
      <c r="G34"/>
      <c r="H34"/>
      <c r="I34"/>
      <c r="J34"/>
      <c r="K34"/>
      <c r="L34"/>
      <c r="M34"/>
      <c r="N34"/>
      <c r="O34"/>
      <c r="P34"/>
      <c r="Q34"/>
      <c r="R34"/>
      <c r="S34"/>
      <c r="T34"/>
      <c r="U34"/>
      <c r="V34"/>
      <c r="W34"/>
      <c r="X34"/>
      <c r="Y34"/>
      <c r="Z34"/>
      <c r="AA34"/>
      <c r="AB34"/>
      <c r="AC34"/>
      <c r="AD34"/>
      <c r="AE34"/>
      <c r="AF34"/>
    </row>
    <row r="35" spans="1:32" x14ac:dyDescent="0.25">
      <c r="A35"/>
      <c r="B35"/>
      <c r="C35"/>
      <c r="D35"/>
      <c r="E35"/>
      <c r="F35"/>
      <c r="G35"/>
      <c r="H35"/>
      <c r="I35"/>
      <c r="J35"/>
      <c r="K35"/>
      <c r="L35"/>
      <c r="M35"/>
      <c r="N35"/>
      <c r="O35"/>
      <c r="P35"/>
      <c r="Q35"/>
      <c r="R35"/>
      <c r="S35"/>
      <c r="T35"/>
      <c r="U35"/>
      <c r="V35"/>
      <c r="W35"/>
      <c r="X35"/>
      <c r="Y35"/>
      <c r="Z35"/>
      <c r="AA35"/>
      <c r="AB35"/>
      <c r="AC35"/>
      <c r="AD35"/>
      <c r="AE35"/>
      <c r="AF35"/>
    </row>
    <row r="36" spans="1:32" x14ac:dyDescent="0.25">
      <c r="A36"/>
      <c r="B36"/>
      <c r="C36"/>
      <c r="D36"/>
      <c r="E36"/>
      <c r="F36"/>
      <c r="G36"/>
      <c r="H36"/>
      <c r="I36"/>
      <c r="J36"/>
      <c r="K36"/>
      <c r="L36"/>
      <c r="M36"/>
      <c r="N36"/>
      <c r="O36"/>
      <c r="P36"/>
      <c r="Q36"/>
      <c r="R36"/>
      <c r="S36"/>
      <c r="T36"/>
      <c r="U36"/>
      <c r="V36"/>
      <c r="W36"/>
      <c r="X36"/>
      <c r="Y36"/>
      <c r="Z36"/>
      <c r="AA36"/>
      <c r="AB36"/>
      <c r="AC36"/>
      <c r="AD36"/>
      <c r="AE36"/>
      <c r="AF36"/>
    </row>
    <row r="37" spans="1:32" x14ac:dyDescent="0.25">
      <c r="A37"/>
      <c r="B37"/>
      <c r="C37"/>
      <c r="D37"/>
      <c r="E37"/>
      <c r="F37"/>
      <c r="G37"/>
      <c r="H37"/>
      <c r="I37"/>
      <c r="J37"/>
      <c r="K37"/>
      <c r="L37"/>
      <c r="M37"/>
      <c r="N37"/>
      <c r="O37"/>
      <c r="P37"/>
      <c r="Q37"/>
      <c r="R37"/>
      <c r="S37"/>
      <c r="T37"/>
      <c r="U37"/>
      <c r="V37"/>
      <c r="W37"/>
      <c r="X37"/>
      <c r="Y37"/>
      <c r="Z37"/>
      <c r="AA37"/>
      <c r="AB37"/>
      <c r="AC37"/>
      <c r="AD37"/>
      <c r="AE37"/>
      <c r="AF37"/>
    </row>
    <row r="38" spans="1:32" x14ac:dyDescent="0.25">
      <c r="A38"/>
      <c r="B38"/>
      <c r="C38"/>
      <c r="D38"/>
      <c r="E38"/>
      <c r="F38"/>
      <c r="G38"/>
      <c r="H38"/>
      <c r="I38"/>
      <c r="J38"/>
      <c r="K38"/>
      <c r="L38"/>
      <c r="M38"/>
      <c r="N38"/>
      <c r="O38"/>
      <c r="P38"/>
      <c r="Q38"/>
      <c r="R38"/>
      <c r="S38"/>
      <c r="T38"/>
      <c r="U38"/>
      <c r="V38"/>
      <c r="W38"/>
      <c r="X38"/>
      <c r="Y38"/>
      <c r="Z38"/>
      <c r="AA38"/>
      <c r="AB38"/>
      <c r="AC38"/>
      <c r="AD38"/>
      <c r="AE38"/>
      <c r="AF38"/>
    </row>
    <row r="39" spans="1:32" x14ac:dyDescent="0.25">
      <c r="A39"/>
      <c r="B39"/>
      <c r="C39"/>
      <c r="D39"/>
      <c r="E39"/>
      <c r="F39"/>
      <c r="G39"/>
      <c r="H39"/>
      <c r="I39"/>
      <c r="J39"/>
      <c r="K39"/>
      <c r="L39"/>
      <c r="M39"/>
      <c r="N39"/>
      <c r="O39"/>
      <c r="P39"/>
      <c r="Q39"/>
      <c r="R39"/>
      <c r="S39"/>
      <c r="T39"/>
      <c r="U39"/>
      <c r="V39"/>
      <c r="W39"/>
      <c r="X39"/>
      <c r="Y39"/>
      <c r="Z39"/>
      <c r="AA39"/>
      <c r="AB39"/>
      <c r="AC39"/>
      <c r="AD39"/>
      <c r="AE39"/>
      <c r="AF39"/>
    </row>
  </sheetData>
  <mergeCells count="1">
    <mergeCell ref="I1:J1"/>
  </mergeCells>
  <conditionalFormatting sqref="B1">
    <cfRule type="cellIs" dxfId="97" priority="1" operator="equal">
      <formula>"Incomplete"</formula>
    </cfRule>
    <cfRule type="cellIs" dxfId="96" priority="2" operator="equal">
      <formula>"Flag for Review"</formula>
    </cfRule>
    <cfRule type="cellIs" dxfId="95" priority="3" operator="equal">
      <formula>"Finished"</formula>
    </cfRule>
  </conditionalFormatting>
  <dataValidations count="2">
    <dataValidation type="decimal" allowBlank="1" showInputMessage="1" showErrorMessage="1" sqref="A8 A12">
      <formula1>0</formula1>
      <formula2>A7</formula2>
    </dataValidation>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6"/>
  <sheetViews>
    <sheetView workbookViewId="0"/>
  </sheetViews>
  <sheetFormatPr defaultColWidth="9.140625" defaultRowHeight="15" x14ac:dyDescent="0.25"/>
  <cols>
    <col min="1" max="1" width="9.140625" style="29"/>
    <col min="2" max="2" width="16" style="29" bestFit="1" customWidth="1"/>
    <col min="3" max="3" width="12.42578125" style="29" bestFit="1" customWidth="1"/>
    <col min="4" max="4" width="10.28515625" style="29" customWidth="1"/>
    <col min="5" max="8" width="9.140625" style="29"/>
    <col min="9" max="9" width="13.7109375" style="29" customWidth="1"/>
    <col min="10" max="16384" width="9.140625" style="29"/>
  </cols>
  <sheetData>
    <row r="1" spans="1:15" x14ac:dyDescent="0.25">
      <c r="A1" s="7">
        <v>3</v>
      </c>
      <c r="B1" s="41" t="s">
        <v>12</v>
      </c>
      <c r="C1" s="28"/>
      <c r="D1" s="28"/>
      <c r="E1" s="28"/>
      <c r="F1" s="28"/>
      <c r="G1" s="28"/>
      <c r="H1" s="388" t="s">
        <v>30</v>
      </c>
      <c r="I1" s="390"/>
      <c r="K1" s="29" t="s">
        <v>54</v>
      </c>
      <c r="L1" s="70" t="s">
        <v>798</v>
      </c>
    </row>
    <row r="2" spans="1:15" x14ac:dyDescent="0.25">
      <c r="A2" s="30"/>
      <c r="B2" s="27"/>
      <c r="C2" s="27"/>
      <c r="D2" s="27"/>
      <c r="E2" s="27"/>
      <c r="F2" s="27"/>
      <c r="G2" s="27"/>
      <c r="H2" s="27"/>
      <c r="I2" s="31"/>
    </row>
    <row r="3" spans="1:15" x14ac:dyDescent="0.25">
      <c r="A3" s="8" t="s">
        <v>13</v>
      </c>
      <c r="B3" s="27"/>
      <c r="C3" s="27"/>
      <c r="D3" s="27"/>
      <c r="E3" s="27"/>
      <c r="F3" s="27"/>
      <c r="G3" s="27"/>
      <c r="H3" s="27"/>
      <c r="I3" s="31"/>
    </row>
    <row r="4" spans="1:15" x14ac:dyDescent="0.25">
      <c r="A4" s="9">
        <f>INDEX('Point Grid'!B:B,MATCH('3'!A1,'Point Grid'!A:A,0))</f>
        <v>1.25</v>
      </c>
      <c r="B4" s="27"/>
      <c r="C4" s="27"/>
      <c r="D4" s="27"/>
      <c r="E4" s="27"/>
      <c r="F4" s="27"/>
      <c r="G4" s="27"/>
      <c r="H4" s="27"/>
      <c r="I4" s="31"/>
      <c r="K4" s="57" t="s">
        <v>2</v>
      </c>
      <c r="L4" s="29" t="s">
        <v>800</v>
      </c>
    </row>
    <row r="5" spans="1:15" x14ac:dyDescent="0.25">
      <c r="A5" s="30"/>
      <c r="B5" s="27"/>
      <c r="C5" s="27"/>
      <c r="D5" s="27"/>
      <c r="E5" s="27"/>
      <c r="F5" s="27"/>
      <c r="G5" s="27"/>
      <c r="H5" s="27"/>
      <c r="I5" s="31"/>
      <c r="L5" s="29" t="s">
        <v>801</v>
      </c>
    </row>
    <row r="6" spans="1:15" x14ac:dyDescent="0.25">
      <c r="A6" s="35" t="s">
        <v>2</v>
      </c>
      <c r="B6" s="27" t="s">
        <v>799</v>
      </c>
      <c r="C6" s="27"/>
      <c r="D6" s="27"/>
      <c r="E6" s="27"/>
      <c r="F6" s="27"/>
      <c r="G6" s="27"/>
      <c r="H6" s="27"/>
      <c r="I6" s="31"/>
      <c r="L6" s="29" t="s">
        <v>802</v>
      </c>
    </row>
    <row r="7" spans="1:15" ht="15.75" thickBot="1" x14ac:dyDescent="0.3">
      <c r="A7" s="9">
        <f>INDEX('Point Grid'!$C$8:$I$35,MATCH($A$1,'Point Grid'!$A$8:$A$35,0),MATCH(A6,'Point Grid'!$C$7:$I$7,0))</f>
        <v>0.75</v>
      </c>
      <c r="B7" s="27"/>
      <c r="C7" s="27"/>
      <c r="D7" s="27"/>
      <c r="E7" s="27"/>
      <c r="F7" s="27"/>
      <c r="G7" s="27"/>
      <c r="H7" s="27"/>
      <c r="I7" s="31"/>
    </row>
    <row r="8" spans="1:15" ht="15.75" thickBot="1" x14ac:dyDescent="0.3">
      <c r="A8" s="5"/>
      <c r="B8" s="27"/>
      <c r="C8" s="27"/>
      <c r="D8" s="27"/>
      <c r="E8" s="27"/>
      <c r="F8" s="27"/>
      <c r="G8" s="27"/>
      <c r="H8" s="27"/>
      <c r="I8" s="31"/>
      <c r="K8" s="57" t="s">
        <v>3</v>
      </c>
      <c r="L8" s="29" t="s">
        <v>124</v>
      </c>
      <c r="O8" s="59"/>
    </row>
    <row r="9" spans="1:15" x14ac:dyDescent="0.25">
      <c r="A9" s="30"/>
      <c r="B9" s="27"/>
      <c r="C9" s="27"/>
      <c r="D9" s="27"/>
      <c r="E9" s="27"/>
      <c r="F9" s="27"/>
      <c r="G9" s="27"/>
      <c r="H9" s="27"/>
      <c r="I9" s="31"/>
    </row>
    <row r="10" spans="1:15" x14ac:dyDescent="0.25">
      <c r="A10" s="35" t="s">
        <v>3</v>
      </c>
      <c r="B10" s="27" t="s">
        <v>541</v>
      </c>
      <c r="C10" s="27"/>
      <c r="D10" s="27"/>
      <c r="E10" s="27"/>
      <c r="F10" s="27"/>
      <c r="G10" s="27"/>
      <c r="H10" s="27"/>
      <c r="I10" s="31"/>
      <c r="L10" s="57">
        <v>1</v>
      </c>
      <c r="M10" s="222" t="s">
        <v>542</v>
      </c>
    </row>
    <row r="11" spans="1:15" ht="15.75" thickBot="1" x14ac:dyDescent="0.3">
      <c r="A11" s="9">
        <f>INDEX('Point Grid'!$C$8:$I$35,MATCH($A$1,'Point Grid'!$A$8:$A$35,0),MATCH(A10,'Point Grid'!$C$7:$I$7,0))</f>
        <v>0.5</v>
      </c>
      <c r="B11" s="27"/>
      <c r="C11" s="27"/>
      <c r="D11" s="27"/>
      <c r="E11" s="27"/>
      <c r="F11" s="27"/>
      <c r="G11" s="27"/>
      <c r="H11" s="27"/>
      <c r="I11" s="31"/>
      <c r="L11" s="57">
        <v>2</v>
      </c>
      <c r="M11" s="223" t="s">
        <v>544</v>
      </c>
    </row>
    <row r="12" spans="1:15" ht="15.75" thickBot="1" x14ac:dyDescent="0.3">
      <c r="A12" s="5"/>
      <c r="B12" s="27"/>
      <c r="C12" s="27"/>
      <c r="D12" s="27"/>
      <c r="E12" s="27"/>
      <c r="F12" s="27"/>
      <c r="G12" s="27"/>
      <c r="H12" s="27"/>
      <c r="I12" s="31"/>
      <c r="L12" s="57">
        <v>3</v>
      </c>
      <c r="M12" s="223" t="s">
        <v>545</v>
      </c>
    </row>
    <row r="13" spans="1:15" ht="15.75" thickBot="1" x14ac:dyDescent="0.3">
      <c r="A13" s="32"/>
      <c r="B13" s="33"/>
      <c r="C13" s="33"/>
      <c r="D13" s="33"/>
      <c r="E13" s="33"/>
      <c r="F13" s="33"/>
      <c r="G13" s="33"/>
      <c r="H13" s="33"/>
      <c r="I13" s="34"/>
      <c r="L13" s="57">
        <v>4</v>
      </c>
      <c r="M13" s="223" t="s">
        <v>546</v>
      </c>
    </row>
    <row r="14" spans="1:15" x14ac:dyDescent="0.25">
      <c r="L14" s="57">
        <v>5</v>
      </c>
      <c r="M14" s="224" t="s">
        <v>543</v>
      </c>
    </row>
    <row r="15" spans="1:15" x14ac:dyDescent="0.25">
      <c r="K15" s="57"/>
      <c r="L15" s="57">
        <v>6</v>
      </c>
      <c r="M15" s="224" t="s">
        <v>547</v>
      </c>
    </row>
    <row r="16" spans="1:15" x14ac:dyDescent="0.25">
      <c r="L16" s="57">
        <v>7</v>
      </c>
      <c r="M16" s="224" t="s">
        <v>548</v>
      </c>
    </row>
  </sheetData>
  <mergeCells count="1">
    <mergeCell ref="H1:I1"/>
  </mergeCells>
  <conditionalFormatting sqref="B1">
    <cfRule type="cellIs" dxfId="94" priority="1" operator="equal">
      <formula>"Incomplete"</formula>
    </cfRule>
    <cfRule type="cellIs" dxfId="93" priority="2" operator="equal">
      <formula>"Flag for Review"</formula>
    </cfRule>
    <cfRule type="cellIs" dxfId="92" priority="3" operator="equal">
      <formula>"Finished"</formula>
    </cfRule>
  </conditionalFormatting>
  <dataValidations disablePrompts="1" count="2">
    <dataValidation type="decimal" allowBlank="1" showInputMessage="1" showErrorMessage="1" sqref="A8 A12">
      <formula1>0</formula1>
      <formula2>A7</formula2>
    </dataValidation>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O23"/>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9" width="12.7109375" style="29" customWidth="1"/>
    <col min="10" max="10" width="10.7109375" style="29" customWidth="1"/>
    <col min="11" max="16384" width="9.140625" style="29"/>
  </cols>
  <sheetData>
    <row r="1" spans="1:15" x14ac:dyDescent="0.25">
      <c r="A1" s="7">
        <v>4</v>
      </c>
      <c r="B1" s="41" t="s">
        <v>12</v>
      </c>
      <c r="C1" s="28"/>
      <c r="D1" s="28"/>
      <c r="E1" s="28"/>
      <c r="F1" s="28"/>
      <c r="G1" s="28"/>
      <c r="H1" s="388" t="s">
        <v>30</v>
      </c>
      <c r="I1" s="390"/>
      <c r="K1" s="29" t="s">
        <v>54</v>
      </c>
      <c r="L1" s="70" t="s">
        <v>795</v>
      </c>
    </row>
    <row r="2" spans="1:15" x14ac:dyDescent="0.25">
      <c r="A2" s="30"/>
      <c r="B2" s="27"/>
      <c r="C2" s="27"/>
      <c r="D2" s="27"/>
      <c r="E2" s="27"/>
      <c r="F2" s="27"/>
      <c r="G2" s="27"/>
      <c r="H2" s="27"/>
      <c r="I2" s="31"/>
    </row>
    <row r="3" spans="1:15" x14ac:dyDescent="0.25">
      <c r="A3" s="8" t="s">
        <v>13</v>
      </c>
      <c r="B3" s="27" t="s">
        <v>52</v>
      </c>
      <c r="C3" s="27"/>
      <c r="D3" s="27"/>
      <c r="E3" s="27"/>
      <c r="F3" s="27"/>
      <c r="G3" s="27"/>
      <c r="H3" s="27"/>
      <c r="I3" s="31"/>
    </row>
    <row r="4" spans="1:15" x14ac:dyDescent="0.25">
      <c r="A4" s="9">
        <f>INDEX('Point Grid'!B:B,MATCH('3'!A1,'Point Grid'!A:A,0))</f>
        <v>1.25</v>
      </c>
      <c r="B4" s="27" t="s">
        <v>51</v>
      </c>
      <c r="C4" s="27"/>
      <c r="D4" s="27"/>
      <c r="E4" s="27"/>
      <c r="F4" s="27"/>
      <c r="G4" s="27"/>
      <c r="H4" s="27"/>
      <c r="I4" s="31"/>
      <c r="K4" s="57" t="s">
        <v>2</v>
      </c>
      <c r="L4" s="58" t="s">
        <v>55</v>
      </c>
    </row>
    <row r="5" spans="1:15" x14ac:dyDescent="0.25">
      <c r="A5" s="30"/>
      <c r="B5" s="27"/>
      <c r="C5" s="27"/>
      <c r="D5" s="27"/>
      <c r="E5" s="27"/>
      <c r="F5" s="27"/>
      <c r="G5" s="27"/>
      <c r="H5" s="27"/>
      <c r="I5" s="31"/>
      <c r="L5" s="29" t="s">
        <v>59</v>
      </c>
    </row>
    <row r="6" spans="1:15" x14ac:dyDescent="0.25">
      <c r="A6" s="35" t="s">
        <v>2</v>
      </c>
      <c r="B6" s="27" t="s">
        <v>53</v>
      </c>
      <c r="C6" s="27"/>
      <c r="D6" s="27"/>
      <c r="E6" s="27"/>
      <c r="F6" s="27"/>
      <c r="G6" s="27"/>
      <c r="H6" s="27"/>
      <c r="I6" s="31"/>
      <c r="L6" s="29" t="s">
        <v>56</v>
      </c>
    </row>
    <row r="7" spans="1:15" ht="15.75" thickBot="1" x14ac:dyDescent="0.3">
      <c r="A7" s="9">
        <f>INDEX('Point Grid'!$C$8:$I$35,MATCH($A$1,'Point Grid'!$A$8:$A$35,0),MATCH(A6,'Point Grid'!$C$7:$I$7,0))</f>
        <v>0.75</v>
      </c>
      <c r="B7" s="27"/>
      <c r="C7" s="27"/>
      <c r="D7" s="27"/>
      <c r="E7" s="27"/>
      <c r="F7" s="27"/>
      <c r="G7" s="27"/>
      <c r="H7" s="27"/>
      <c r="I7" s="31"/>
      <c r="L7" s="29" t="s">
        <v>57</v>
      </c>
    </row>
    <row r="8" spans="1:15" ht="15.75" thickBot="1" x14ac:dyDescent="0.3">
      <c r="A8" s="5"/>
      <c r="B8" s="27"/>
      <c r="C8" s="27"/>
      <c r="D8" s="27"/>
      <c r="E8" s="27"/>
      <c r="F8" s="27"/>
      <c r="G8" s="27"/>
      <c r="H8" s="27"/>
      <c r="I8" s="31"/>
      <c r="L8" s="29" t="s">
        <v>58</v>
      </c>
      <c r="O8" s="59"/>
    </row>
    <row r="9" spans="1:15" x14ac:dyDescent="0.25">
      <c r="A9" s="30"/>
      <c r="B9" s="27"/>
      <c r="C9" s="27"/>
      <c r="D9" s="27"/>
      <c r="E9" s="27"/>
      <c r="F9" s="27"/>
      <c r="G9" s="27"/>
      <c r="H9" s="27"/>
      <c r="I9" s="31"/>
      <c r="L9" s="29" t="s">
        <v>60</v>
      </c>
    </row>
    <row r="10" spans="1:15" x14ac:dyDescent="0.25">
      <c r="A10" s="35" t="s">
        <v>3</v>
      </c>
      <c r="B10" s="27" t="s">
        <v>386</v>
      </c>
      <c r="C10" s="27"/>
      <c r="D10" s="27"/>
      <c r="E10" s="27"/>
      <c r="F10" s="27"/>
      <c r="G10" s="27"/>
      <c r="H10" s="27"/>
      <c r="I10" s="31"/>
      <c r="L10" s="29" t="s">
        <v>61</v>
      </c>
    </row>
    <row r="11" spans="1:15" ht="15.75" thickBot="1" x14ac:dyDescent="0.3">
      <c r="A11" s="9">
        <f>INDEX('Point Grid'!$C$8:$I$35,MATCH($A$1,'Point Grid'!$A$8:$A$35,0),MATCH(A10,'Point Grid'!$C$7:$I$7,0))</f>
        <v>0.75</v>
      </c>
      <c r="B11" s="27"/>
      <c r="C11" s="27"/>
      <c r="D11" s="27"/>
      <c r="E11" s="27"/>
      <c r="F11" s="27"/>
      <c r="G11" s="27"/>
      <c r="H11" s="27"/>
      <c r="I11" s="31"/>
      <c r="L11" s="29" t="s">
        <v>62</v>
      </c>
    </row>
    <row r="12" spans="1:15" ht="15.75" thickBot="1" x14ac:dyDescent="0.3">
      <c r="A12" s="5"/>
      <c r="B12" s="27"/>
      <c r="C12" s="27"/>
      <c r="D12" s="27"/>
      <c r="E12" s="27"/>
      <c r="F12" s="27"/>
      <c r="G12" s="27"/>
      <c r="H12" s="27"/>
      <c r="I12" s="31"/>
      <c r="L12" s="29" t="s">
        <v>63</v>
      </c>
    </row>
    <row r="13" spans="1:15" ht="15.75" thickBot="1" x14ac:dyDescent="0.3">
      <c r="A13" s="32"/>
      <c r="B13" s="33"/>
      <c r="C13" s="33"/>
      <c r="D13" s="33"/>
      <c r="E13" s="33"/>
      <c r="F13" s="33"/>
      <c r="G13" s="33"/>
      <c r="H13" s="33"/>
      <c r="I13" s="34"/>
      <c r="L13" s="29" t="s">
        <v>64</v>
      </c>
    </row>
    <row r="15" spans="1:15" x14ac:dyDescent="0.25">
      <c r="K15" s="57" t="s">
        <v>3</v>
      </c>
      <c r="L15" s="58" t="s">
        <v>68</v>
      </c>
    </row>
    <row r="16" spans="1:15" x14ac:dyDescent="0.25">
      <c r="L16" s="29" t="s">
        <v>65</v>
      </c>
    </row>
    <row r="17" spans="12:12" x14ac:dyDescent="0.25">
      <c r="L17" s="29" t="s">
        <v>66</v>
      </c>
    </row>
    <row r="18" spans="12:12" x14ac:dyDescent="0.25">
      <c r="L18" s="29" t="s">
        <v>70</v>
      </c>
    </row>
    <row r="19" spans="12:12" x14ac:dyDescent="0.25">
      <c r="L19" s="29" t="s">
        <v>67</v>
      </c>
    </row>
    <row r="20" spans="12:12" x14ac:dyDescent="0.25">
      <c r="L20" s="29" t="s">
        <v>69</v>
      </c>
    </row>
    <row r="21" spans="12:12" x14ac:dyDescent="0.25">
      <c r="L21" s="29" t="s">
        <v>71</v>
      </c>
    </row>
    <row r="22" spans="12:12" x14ac:dyDescent="0.25">
      <c r="L22" s="29" t="s">
        <v>72</v>
      </c>
    </row>
    <row r="23" spans="12:12" x14ac:dyDescent="0.25">
      <c r="L23" s="29" t="s">
        <v>73</v>
      </c>
    </row>
  </sheetData>
  <mergeCells count="1">
    <mergeCell ref="H1:I1"/>
  </mergeCells>
  <conditionalFormatting sqref="B1">
    <cfRule type="cellIs" dxfId="91" priority="1" operator="equal">
      <formula>"Incomplete"</formula>
    </cfRule>
    <cfRule type="cellIs" dxfId="90" priority="2" operator="equal">
      <formula>"Flag for Review"</formula>
    </cfRule>
    <cfRule type="cellIs" dxfId="89"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8 A12">
      <formula1>0</formula1>
      <formula2>A7</formula2>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Q85"/>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6384" width="9.140625" style="29"/>
  </cols>
  <sheetData>
    <row r="1" spans="1:15" x14ac:dyDescent="0.25">
      <c r="A1" s="7">
        <v>5</v>
      </c>
      <c r="B1" s="41" t="s">
        <v>12</v>
      </c>
      <c r="C1" s="28"/>
      <c r="D1" s="28"/>
      <c r="E1" s="28"/>
      <c r="F1" s="28"/>
      <c r="G1" s="28"/>
      <c r="H1" s="27"/>
      <c r="I1" s="27"/>
      <c r="J1" s="388" t="s">
        <v>30</v>
      </c>
      <c r="K1" s="390"/>
      <c r="L1"/>
      <c r="M1" s="29" t="s">
        <v>54</v>
      </c>
      <c r="N1" s="70" t="s">
        <v>1197</v>
      </c>
      <c r="O1"/>
    </row>
    <row r="2" spans="1:15" x14ac:dyDescent="0.25">
      <c r="A2" s="30"/>
      <c r="B2" s="27"/>
      <c r="C2" s="27"/>
      <c r="D2" s="27"/>
      <c r="E2" s="27"/>
      <c r="F2" s="27"/>
      <c r="G2" s="27"/>
      <c r="H2" s="27"/>
      <c r="I2" s="27"/>
      <c r="J2" s="27"/>
      <c r="K2" s="31"/>
      <c r="L2"/>
      <c r="M2"/>
      <c r="N2"/>
      <c r="O2"/>
    </row>
    <row r="3" spans="1:15" x14ac:dyDescent="0.25">
      <c r="A3" s="8" t="s">
        <v>13</v>
      </c>
      <c r="B3" s="27" t="s">
        <v>1214</v>
      </c>
      <c r="C3" s="27"/>
      <c r="D3" s="27"/>
      <c r="E3" s="27"/>
      <c r="F3" s="27"/>
      <c r="G3" s="27"/>
      <c r="H3" s="27"/>
      <c r="I3" s="27"/>
      <c r="J3" s="27"/>
      <c r="K3" s="31"/>
      <c r="L3"/>
      <c r="M3" s="57" t="s">
        <v>2</v>
      </c>
      <c r="N3" s="376" t="s">
        <v>1207</v>
      </c>
      <c r="O3" s="1"/>
    </row>
    <row r="4" spans="1:15" x14ac:dyDescent="0.25">
      <c r="A4" s="9">
        <f>INDEX('Point Grid'!B:B,MATCH('3'!A1,'Point Grid'!A:A,0))</f>
        <v>1.25</v>
      </c>
      <c r="B4" s="27" t="s">
        <v>1215</v>
      </c>
      <c r="C4" s="27"/>
      <c r="D4" s="27"/>
      <c r="E4" s="27"/>
      <c r="F4" s="27"/>
      <c r="G4" s="27"/>
      <c r="H4" s="27"/>
      <c r="I4" s="27"/>
      <c r="J4" s="27"/>
      <c r="K4" s="31"/>
      <c r="L4"/>
      <c r="N4" s="376" t="s">
        <v>1208</v>
      </c>
      <c r="O4" s="359"/>
    </row>
    <row r="5" spans="1:15" x14ac:dyDescent="0.25">
      <c r="A5" s="30"/>
      <c r="B5" s="27"/>
      <c r="C5" s="27"/>
      <c r="D5" s="27"/>
      <c r="E5" s="27"/>
      <c r="F5" s="27"/>
      <c r="G5" s="27"/>
      <c r="H5" s="27"/>
      <c r="I5" s="27"/>
      <c r="J5" s="27"/>
      <c r="K5" s="31"/>
      <c r="L5"/>
      <c r="N5" s="376" t="s">
        <v>1209</v>
      </c>
    </row>
    <row r="6" spans="1:15" x14ac:dyDescent="0.25">
      <c r="A6" s="35" t="s">
        <v>2</v>
      </c>
      <c r="B6" s="27" t="s">
        <v>1211</v>
      </c>
      <c r="C6" s="27"/>
      <c r="D6" s="27"/>
      <c r="E6" s="27"/>
      <c r="F6" s="27"/>
      <c r="G6" s="27"/>
      <c r="H6" s="27"/>
      <c r="I6" s="27"/>
      <c r="J6" s="27"/>
      <c r="K6" s="31"/>
      <c r="L6"/>
      <c r="N6" s="376" t="s">
        <v>1210</v>
      </c>
    </row>
    <row r="7" spans="1:15" ht="15.75" thickBot="1" x14ac:dyDescent="0.3">
      <c r="A7" s="9">
        <f>INDEX('Point Grid'!$C$8:$I$35,MATCH($A$1,'Point Grid'!$A$8:$A$35,0),MATCH(A6,'Point Grid'!$C$7:$I$7,0))</f>
        <v>1</v>
      </c>
      <c r="B7" s="27" t="s">
        <v>1212</v>
      </c>
      <c r="C7" s="27"/>
      <c r="D7" s="27"/>
      <c r="E7" s="27"/>
      <c r="F7" s="27"/>
      <c r="G7" s="27"/>
      <c r="H7" s="27"/>
      <c r="I7" s="27"/>
      <c r="J7" s="27"/>
      <c r="K7" s="31"/>
      <c r="L7"/>
      <c r="M7"/>
      <c r="N7"/>
    </row>
    <row r="8" spans="1:15" ht="15.75" thickBot="1" x14ac:dyDescent="0.3">
      <c r="A8" s="5"/>
      <c r="B8" s="27"/>
      <c r="C8" s="27"/>
      <c r="D8" s="27"/>
      <c r="E8" s="27"/>
      <c r="F8" s="27"/>
      <c r="G8" s="27"/>
      <c r="H8" s="27"/>
      <c r="I8" s="27"/>
      <c r="J8" s="27"/>
      <c r="K8" s="31"/>
      <c r="L8"/>
      <c r="M8" s="57" t="s">
        <v>3</v>
      </c>
      <c r="N8" t="s">
        <v>1220</v>
      </c>
    </row>
    <row r="9" spans="1:15" x14ac:dyDescent="0.25">
      <c r="A9" s="30"/>
      <c r="B9" s="27"/>
      <c r="C9" s="27"/>
      <c r="D9" s="27"/>
      <c r="E9" s="27"/>
      <c r="F9" s="27"/>
      <c r="G9" s="27"/>
      <c r="H9" s="27"/>
      <c r="I9" s="27"/>
      <c r="J9" s="27"/>
      <c r="K9" s="31"/>
      <c r="M9"/>
      <c r="N9"/>
      <c r="O9"/>
    </row>
    <row r="10" spans="1:15" x14ac:dyDescent="0.25">
      <c r="A10" s="35" t="s">
        <v>3</v>
      </c>
      <c r="B10" s="27" t="s">
        <v>1213</v>
      </c>
      <c r="C10" s="27"/>
      <c r="D10" s="27"/>
      <c r="E10" s="27"/>
      <c r="F10" s="27"/>
      <c r="G10" s="27"/>
      <c r="H10" s="27"/>
      <c r="I10" s="27"/>
      <c r="J10" s="27"/>
      <c r="K10" s="31"/>
      <c r="M10" s="57" t="s">
        <v>4</v>
      </c>
      <c r="N10" t="s">
        <v>1221</v>
      </c>
    </row>
    <row r="11" spans="1:15" ht="33" customHeight="1" thickBot="1" x14ac:dyDescent="0.3">
      <c r="A11" s="9">
        <f>INDEX('Point Grid'!$C$8:$I$35,MATCH($A$1,'Point Grid'!$A$8:$A$35,0),MATCH(A10,'Point Grid'!$C$7:$I$7,0))</f>
        <v>0.5</v>
      </c>
      <c r="B11" s="375" t="s">
        <v>1199</v>
      </c>
      <c r="C11" s="375" t="s">
        <v>1200</v>
      </c>
      <c r="D11" s="375" t="s">
        <v>1201</v>
      </c>
      <c r="E11" s="375" t="s">
        <v>1202</v>
      </c>
      <c r="F11" s="375" t="s">
        <v>1203</v>
      </c>
      <c r="G11" s="27"/>
      <c r="H11" s="27"/>
      <c r="I11" s="27"/>
      <c r="J11" s="27"/>
      <c r="K11" s="31"/>
      <c r="M11"/>
      <c r="N11"/>
      <c r="O11"/>
    </row>
    <row r="12" spans="1:15" ht="15.75" thickBot="1" x14ac:dyDescent="0.3">
      <c r="A12" s="5"/>
      <c r="B12" s="27" t="s">
        <v>1204</v>
      </c>
      <c r="C12" s="38">
        <v>15</v>
      </c>
      <c r="D12" s="38">
        <v>25000</v>
      </c>
      <c r="E12" s="38">
        <v>450</v>
      </c>
      <c r="F12" s="38">
        <v>1.35</v>
      </c>
      <c r="G12" s="27"/>
      <c r="H12" s="27"/>
      <c r="I12" s="27"/>
      <c r="J12" s="27"/>
      <c r="K12" s="31"/>
      <c r="M12"/>
      <c r="N12"/>
      <c r="O12" s="1"/>
    </row>
    <row r="13" spans="1:15" x14ac:dyDescent="0.25">
      <c r="A13" s="27"/>
      <c r="B13" s="27" t="s">
        <v>1205</v>
      </c>
      <c r="C13" s="38">
        <v>40</v>
      </c>
      <c r="D13" s="38">
        <v>35000</v>
      </c>
      <c r="E13" s="38">
        <v>385</v>
      </c>
      <c r="F13" s="38">
        <v>1.1000000000000001</v>
      </c>
      <c r="G13" s="27"/>
      <c r="H13" s="27"/>
      <c r="I13" s="27"/>
      <c r="J13" s="27"/>
      <c r="K13" s="31"/>
      <c r="M13"/>
      <c r="N13"/>
      <c r="O13"/>
    </row>
    <row r="14" spans="1:15" x14ac:dyDescent="0.25">
      <c r="A14" s="27"/>
      <c r="B14" s="27" t="s">
        <v>1206</v>
      </c>
      <c r="C14" s="38">
        <v>85</v>
      </c>
      <c r="D14" s="38">
        <v>12000</v>
      </c>
      <c r="E14" s="38">
        <v>96</v>
      </c>
      <c r="F14" s="38">
        <v>0.8</v>
      </c>
      <c r="G14" s="27"/>
      <c r="H14" s="27"/>
      <c r="I14" s="27"/>
      <c r="J14" s="27"/>
      <c r="K14" s="31"/>
      <c r="M14"/>
      <c r="N14"/>
      <c r="O14"/>
    </row>
    <row r="15" spans="1:15" x14ac:dyDescent="0.25">
      <c r="A15" s="27"/>
      <c r="B15" s="38"/>
      <c r="C15" s="38"/>
      <c r="D15" s="38"/>
      <c r="E15" s="38"/>
      <c r="F15" s="38"/>
      <c r="G15" s="27"/>
      <c r="H15" s="27"/>
      <c r="I15" s="27"/>
      <c r="J15" s="27"/>
      <c r="K15" s="31"/>
      <c r="M15"/>
      <c r="N15"/>
      <c r="O15"/>
    </row>
    <row r="16" spans="1:15" x14ac:dyDescent="0.25">
      <c r="A16" s="27"/>
      <c r="B16" s="38"/>
      <c r="C16" s="38"/>
      <c r="D16" s="38"/>
      <c r="E16" s="38"/>
      <c r="F16" s="38"/>
      <c r="G16" s="27"/>
      <c r="H16" s="27"/>
      <c r="I16" s="27"/>
      <c r="J16" s="27"/>
      <c r="K16" s="31"/>
      <c r="M16"/>
      <c r="N16"/>
      <c r="O16"/>
    </row>
    <row r="17" spans="1:17" x14ac:dyDescent="0.25">
      <c r="A17" s="35"/>
      <c r="B17" s="27" t="s">
        <v>1217</v>
      </c>
      <c r="C17" s="27"/>
      <c r="D17" s="27"/>
      <c r="E17" s="27"/>
      <c r="F17" s="27"/>
      <c r="G17" s="27"/>
      <c r="H17" s="27"/>
      <c r="I17" s="27"/>
      <c r="J17" s="27"/>
      <c r="K17" s="31"/>
      <c r="M17"/>
      <c r="N17"/>
      <c r="O17"/>
    </row>
    <row r="18" spans="1:17" x14ac:dyDescent="0.25">
      <c r="A18" s="35"/>
      <c r="B18" s="27" t="s">
        <v>1216</v>
      </c>
      <c r="C18" s="27"/>
      <c r="D18" s="27"/>
      <c r="E18" s="27"/>
      <c r="F18" s="27"/>
      <c r="G18" s="27"/>
      <c r="H18" s="27"/>
      <c r="I18" s="27"/>
      <c r="J18" s="27"/>
      <c r="K18" s="31"/>
      <c r="N18"/>
      <c r="O18"/>
    </row>
    <row r="19" spans="1:17" x14ac:dyDescent="0.25">
      <c r="A19" s="35"/>
      <c r="B19" s="27"/>
      <c r="C19" s="27"/>
      <c r="D19" s="27"/>
      <c r="E19" s="27"/>
      <c r="F19" s="27"/>
      <c r="G19" s="27"/>
      <c r="H19" s="27"/>
      <c r="I19" s="27"/>
      <c r="J19" s="27"/>
      <c r="K19" s="31"/>
      <c r="M19"/>
      <c r="N19"/>
      <c r="O19"/>
    </row>
    <row r="20" spans="1:17" x14ac:dyDescent="0.25">
      <c r="A20" s="35" t="s">
        <v>4</v>
      </c>
      <c r="B20" s="27" t="s">
        <v>1218</v>
      </c>
      <c r="C20" s="27"/>
      <c r="D20" s="27"/>
      <c r="E20" s="27"/>
      <c r="F20" s="27"/>
      <c r="G20" s="27"/>
      <c r="H20" s="27"/>
      <c r="I20" s="27"/>
      <c r="J20" s="27"/>
      <c r="K20" s="31"/>
      <c r="M20"/>
      <c r="N20"/>
      <c r="O20"/>
    </row>
    <row r="21" spans="1:17" ht="15.75" thickBot="1" x14ac:dyDescent="0.3">
      <c r="A21" s="9">
        <f>INDEX('Point Grid'!$C$8:$I$35,MATCH($A$1,'Point Grid'!$A$8:$A$35,0),MATCH(A20,'Point Grid'!$C$7:$I$7,0))</f>
        <v>0.75</v>
      </c>
      <c r="B21" s="27" t="s">
        <v>1219</v>
      </c>
      <c r="C21" s="27"/>
      <c r="D21" s="27"/>
      <c r="E21" s="27"/>
      <c r="F21" s="27"/>
      <c r="G21" s="27"/>
      <c r="H21" s="27"/>
      <c r="I21" s="27"/>
      <c r="J21" s="27"/>
      <c r="K21" s="31"/>
      <c r="M21"/>
      <c r="N21"/>
      <c r="O21"/>
    </row>
    <row r="22" spans="1:17" ht="15.75" thickBot="1" x14ac:dyDescent="0.3">
      <c r="A22" s="5"/>
      <c r="B22" s="27"/>
      <c r="C22" s="27"/>
      <c r="D22" s="27"/>
      <c r="E22" s="27"/>
      <c r="F22" s="27"/>
      <c r="G22" s="27"/>
      <c r="H22" s="27"/>
      <c r="I22" s="27"/>
      <c r="J22" s="27"/>
      <c r="K22" s="31"/>
      <c r="L22"/>
      <c r="M22"/>
      <c r="N22"/>
      <c r="O22"/>
      <c r="P22"/>
      <c r="Q22"/>
    </row>
    <row r="23" spans="1:17" ht="15.75" thickBot="1" x14ac:dyDescent="0.3">
      <c r="A23" s="32"/>
      <c r="B23" s="33"/>
      <c r="C23" s="33"/>
      <c r="D23" s="33"/>
      <c r="E23" s="33"/>
      <c r="F23" s="33"/>
      <c r="G23" s="33"/>
      <c r="H23" s="33"/>
      <c r="I23" s="33"/>
      <c r="J23" s="33"/>
      <c r="K23" s="34"/>
      <c r="L23"/>
      <c r="M23"/>
      <c r="N23"/>
      <c r="O23"/>
      <c r="P23"/>
      <c r="Q23"/>
    </row>
    <row r="24" spans="1:17" x14ac:dyDescent="0.25">
      <c r="A24"/>
      <c r="B24"/>
      <c r="C24"/>
      <c r="D24"/>
      <c r="E24"/>
      <c r="F24"/>
      <c r="G24"/>
      <c r="H24"/>
      <c r="I24"/>
      <c r="J24"/>
      <c r="K24"/>
      <c r="L24"/>
      <c r="M24"/>
      <c r="N24"/>
      <c r="O24"/>
      <c r="P24"/>
      <c r="Q24"/>
    </row>
    <row r="25" spans="1:17" x14ac:dyDescent="0.25">
      <c r="A25"/>
      <c r="B25"/>
      <c r="C25"/>
      <c r="D25"/>
      <c r="E25"/>
      <c r="F25"/>
      <c r="G25"/>
      <c r="H25"/>
      <c r="I25"/>
      <c r="J25"/>
      <c r="K25"/>
      <c r="L25"/>
      <c r="M25"/>
      <c r="N25"/>
      <c r="O25"/>
      <c r="P25"/>
      <c r="Q25"/>
    </row>
    <row r="26" spans="1:17" x14ac:dyDescent="0.25">
      <c r="A26"/>
      <c r="B26"/>
      <c r="C26"/>
      <c r="D26"/>
      <c r="E26"/>
      <c r="F26"/>
      <c r="G26"/>
      <c r="H26"/>
      <c r="I26"/>
      <c r="J26"/>
      <c r="K26"/>
      <c r="L26"/>
      <c r="M26"/>
      <c r="N26"/>
      <c r="O26"/>
      <c r="P26"/>
      <c r="Q26"/>
    </row>
    <row r="27" spans="1:17" x14ac:dyDescent="0.25">
      <c r="A27"/>
      <c r="B27"/>
      <c r="C27"/>
      <c r="D27"/>
      <c r="E27"/>
      <c r="F27"/>
      <c r="G27"/>
      <c r="H27"/>
      <c r="I27"/>
      <c r="J27"/>
      <c r="K27"/>
      <c r="L27"/>
      <c r="M27"/>
      <c r="N27"/>
      <c r="O27"/>
      <c r="P27"/>
      <c r="Q27"/>
    </row>
    <row r="28" spans="1:17" x14ac:dyDescent="0.25">
      <c r="A28"/>
      <c r="B28"/>
      <c r="C28"/>
      <c r="D28"/>
      <c r="E28"/>
      <c r="F28"/>
      <c r="G28"/>
      <c r="H28"/>
      <c r="I28"/>
      <c r="J28"/>
      <c r="K28"/>
      <c r="L28"/>
      <c r="M28"/>
      <c r="N28"/>
      <c r="O28"/>
      <c r="P28"/>
      <c r="Q28"/>
    </row>
    <row r="29" spans="1:17" x14ac:dyDescent="0.25">
      <c r="A29"/>
      <c r="B29"/>
      <c r="C29"/>
      <c r="D29"/>
      <c r="E29"/>
      <c r="F29"/>
      <c r="G29"/>
      <c r="H29"/>
      <c r="I29"/>
      <c r="J29"/>
      <c r="K29"/>
      <c r="L29"/>
      <c r="M29"/>
      <c r="N29"/>
      <c r="O29"/>
      <c r="P29"/>
      <c r="Q29"/>
    </row>
    <row r="30" spans="1:17" x14ac:dyDescent="0.25">
      <c r="A30"/>
      <c r="B30"/>
      <c r="C30"/>
      <c r="D30"/>
      <c r="E30"/>
      <c r="F30"/>
      <c r="G30"/>
      <c r="H30"/>
      <c r="I30"/>
      <c r="J30"/>
      <c r="K30"/>
      <c r="L30"/>
      <c r="M30"/>
      <c r="N30"/>
      <c r="O30"/>
      <c r="P30"/>
      <c r="Q30"/>
    </row>
    <row r="31" spans="1:17" x14ac:dyDescent="0.25">
      <c r="A31"/>
      <c r="B31"/>
      <c r="C31"/>
      <c r="D31"/>
      <c r="E31"/>
      <c r="F31"/>
      <c r="G31"/>
      <c r="H31"/>
      <c r="I31"/>
      <c r="J31"/>
      <c r="K31"/>
      <c r="L31"/>
      <c r="M31"/>
      <c r="N31"/>
      <c r="O31"/>
      <c r="P31"/>
      <c r="Q31"/>
    </row>
    <row r="32" spans="1:17" x14ac:dyDescent="0.25">
      <c r="A32"/>
      <c r="B32"/>
      <c r="C32"/>
      <c r="D32"/>
      <c r="E32"/>
      <c r="F32"/>
      <c r="G32"/>
      <c r="H32"/>
      <c r="I32"/>
      <c r="J32"/>
      <c r="K32"/>
      <c r="L32"/>
      <c r="M32"/>
      <c r="N32"/>
      <c r="O32"/>
      <c r="P32"/>
      <c r="Q32"/>
    </row>
    <row r="33" spans="1:17" x14ac:dyDescent="0.25">
      <c r="A33"/>
      <c r="B33"/>
      <c r="C33"/>
      <c r="D33"/>
      <c r="E33"/>
      <c r="F33"/>
      <c r="G33"/>
      <c r="H33"/>
      <c r="I33"/>
      <c r="J33"/>
      <c r="K33"/>
      <c r="L33"/>
      <c r="M33"/>
      <c r="N33"/>
      <c r="O33"/>
      <c r="P33"/>
      <c r="Q33"/>
    </row>
    <row r="34" spans="1:17" x14ac:dyDescent="0.25">
      <c r="A34"/>
      <c r="B34"/>
      <c r="C34"/>
      <c r="D34"/>
      <c r="E34"/>
      <c r="F34"/>
      <c r="G34"/>
      <c r="H34"/>
      <c r="I34"/>
      <c r="J34"/>
      <c r="K34"/>
      <c r="L34"/>
      <c r="M34"/>
      <c r="N34"/>
      <c r="O34"/>
      <c r="P34"/>
      <c r="Q34"/>
    </row>
    <row r="35" spans="1:17" x14ac:dyDescent="0.25">
      <c r="A35"/>
      <c r="B35"/>
      <c r="C35"/>
      <c r="D35"/>
      <c r="E35"/>
      <c r="F35"/>
      <c r="G35"/>
      <c r="H35"/>
      <c r="I35"/>
      <c r="J35"/>
      <c r="K35"/>
      <c r="L35"/>
      <c r="M35"/>
      <c r="N35"/>
      <c r="O35"/>
      <c r="P35"/>
      <c r="Q35"/>
    </row>
    <row r="36" spans="1:17" x14ac:dyDescent="0.25">
      <c r="A36"/>
      <c r="B36"/>
      <c r="C36"/>
      <c r="D36"/>
      <c r="E36"/>
      <c r="F36"/>
      <c r="G36"/>
      <c r="H36"/>
      <c r="I36"/>
      <c r="J36"/>
      <c r="K36"/>
      <c r="L36"/>
      <c r="M36"/>
      <c r="N36"/>
      <c r="O36"/>
      <c r="P36"/>
      <c r="Q36"/>
    </row>
    <row r="37" spans="1:17" x14ac:dyDescent="0.25">
      <c r="A37"/>
      <c r="B37"/>
      <c r="C37"/>
      <c r="D37"/>
      <c r="E37"/>
      <c r="F37"/>
      <c r="G37"/>
      <c r="H37"/>
      <c r="I37"/>
      <c r="J37"/>
      <c r="K37"/>
      <c r="L37"/>
      <c r="M37"/>
      <c r="N37"/>
      <c r="O37"/>
      <c r="P37"/>
      <c r="Q37"/>
    </row>
    <row r="38" spans="1:17" x14ac:dyDescent="0.25">
      <c r="A38"/>
      <c r="B38"/>
      <c r="C38"/>
      <c r="D38"/>
      <c r="E38"/>
      <c r="F38"/>
      <c r="G38"/>
      <c r="H38"/>
      <c r="I38"/>
      <c r="J38"/>
      <c r="K38"/>
      <c r="L38"/>
      <c r="M38"/>
      <c r="N38"/>
      <c r="O38"/>
      <c r="P38"/>
      <c r="Q38"/>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row r="47" spans="1:17" x14ac:dyDescent="0.25">
      <c r="A47"/>
      <c r="B47"/>
      <c r="C47"/>
      <c r="D47"/>
      <c r="E47"/>
      <c r="F47"/>
      <c r="G47"/>
      <c r="H47"/>
      <c r="I47"/>
      <c r="J47"/>
      <c r="K47"/>
      <c r="L47"/>
      <c r="M47"/>
      <c r="N47"/>
      <c r="O47"/>
      <c r="P47"/>
      <c r="Q47"/>
    </row>
    <row r="48" spans="1:17" x14ac:dyDescent="0.25">
      <c r="A48"/>
      <c r="B48"/>
      <c r="C48"/>
      <c r="D48"/>
      <c r="E48"/>
      <c r="F48"/>
      <c r="G48"/>
      <c r="H48"/>
      <c r="I48"/>
      <c r="J48"/>
      <c r="K48"/>
      <c r="L48"/>
      <c r="M48"/>
      <c r="N48"/>
      <c r="O48"/>
      <c r="P48"/>
      <c r="Q48"/>
    </row>
    <row r="49" spans="1:17" x14ac:dyDescent="0.25">
      <c r="A49"/>
      <c r="B49"/>
      <c r="C49"/>
      <c r="D49"/>
      <c r="E49"/>
      <c r="F49"/>
      <c r="G49"/>
      <c r="H49"/>
      <c r="I49"/>
      <c r="J49"/>
      <c r="K49"/>
      <c r="L49"/>
      <c r="M49"/>
      <c r="N49"/>
      <c r="O49"/>
      <c r="P49"/>
      <c r="Q49"/>
    </row>
    <row r="50" spans="1:17" x14ac:dyDescent="0.25">
      <c r="A50"/>
      <c r="B50"/>
      <c r="C50"/>
      <c r="D50"/>
      <c r="E50"/>
      <c r="F50"/>
      <c r="G50"/>
      <c r="H50"/>
      <c r="I50"/>
      <c r="J50"/>
      <c r="K50"/>
      <c r="L50"/>
      <c r="M50"/>
      <c r="N50"/>
      <c r="O50"/>
      <c r="P50"/>
      <c r="Q50"/>
    </row>
    <row r="51" spans="1:17" x14ac:dyDescent="0.25">
      <c r="J51"/>
      <c r="K51"/>
    </row>
    <row r="52" spans="1:17" x14ac:dyDescent="0.25">
      <c r="J52"/>
      <c r="K52"/>
    </row>
    <row r="53" spans="1:17" x14ac:dyDescent="0.25">
      <c r="J53"/>
      <c r="K53"/>
    </row>
    <row r="54" spans="1:17" x14ac:dyDescent="0.25">
      <c r="J54"/>
      <c r="K54"/>
    </row>
    <row r="55" spans="1:17" x14ac:dyDescent="0.25">
      <c r="J55"/>
      <c r="K55"/>
    </row>
    <row r="56" spans="1:17" x14ac:dyDescent="0.25">
      <c r="J56"/>
      <c r="K56"/>
    </row>
    <row r="57" spans="1:17" x14ac:dyDescent="0.25">
      <c r="J57"/>
      <c r="K57"/>
    </row>
    <row r="58" spans="1:17" x14ac:dyDescent="0.25">
      <c r="J58"/>
      <c r="K58"/>
    </row>
    <row r="59" spans="1:17" x14ac:dyDescent="0.25">
      <c r="J59"/>
      <c r="K59"/>
    </row>
    <row r="60" spans="1:17" x14ac:dyDescent="0.25">
      <c r="J60"/>
      <c r="K60"/>
    </row>
    <row r="61" spans="1:17" x14ac:dyDescent="0.25">
      <c r="J61"/>
      <c r="K61"/>
    </row>
    <row r="62" spans="1:17" x14ac:dyDescent="0.25">
      <c r="J62"/>
      <c r="K62"/>
    </row>
    <row r="63" spans="1:17" x14ac:dyDescent="0.25">
      <c r="J63"/>
      <c r="K63"/>
    </row>
    <row r="64" spans="1:17" x14ac:dyDescent="0.25">
      <c r="J64" s="1"/>
      <c r="K64" s="1"/>
    </row>
    <row r="65" spans="10:11" x14ac:dyDescent="0.25">
      <c r="J65"/>
      <c r="K65"/>
    </row>
    <row r="66" spans="10:11" x14ac:dyDescent="0.25">
      <c r="J66"/>
      <c r="K66"/>
    </row>
    <row r="67" spans="10:11" x14ac:dyDescent="0.25">
      <c r="J67"/>
      <c r="K67"/>
    </row>
    <row r="68" spans="10:11" x14ac:dyDescent="0.25">
      <c r="J68"/>
      <c r="K68"/>
    </row>
    <row r="69" spans="10:11" x14ac:dyDescent="0.25">
      <c r="J69"/>
      <c r="K69"/>
    </row>
    <row r="70" spans="10:11" x14ac:dyDescent="0.25">
      <c r="J70"/>
      <c r="K70"/>
    </row>
    <row r="71" spans="10:11" x14ac:dyDescent="0.25">
      <c r="J71"/>
      <c r="K71"/>
    </row>
    <row r="72" spans="10:11" x14ac:dyDescent="0.25">
      <c r="J72"/>
      <c r="K72"/>
    </row>
    <row r="73" spans="10:11" x14ac:dyDescent="0.25">
      <c r="J73"/>
      <c r="K73"/>
    </row>
    <row r="74" spans="10:11" x14ac:dyDescent="0.25">
      <c r="J74"/>
      <c r="K74"/>
    </row>
    <row r="75" spans="10:11" x14ac:dyDescent="0.25">
      <c r="J75"/>
      <c r="K75"/>
    </row>
    <row r="76" spans="10:11" x14ac:dyDescent="0.25">
      <c r="J76"/>
      <c r="K76"/>
    </row>
    <row r="77" spans="10:11" x14ac:dyDescent="0.25">
      <c r="J77"/>
      <c r="K77"/>
    </row>
    <row r="78" spans="10:11" x14ac:dyDescent="0.25">
      <c r="J78"/>
      <c r="K78"/>
    </row>
    <row r="79" spans="10:11" x14ac:dyDescent="0.25">
      <c r="J79"/>
      <c r="K79"/>
    </row>
    <row r="80" spans="10:11" x14ac:dyDescent="0.25">
      <c r="J80"/>
      <c r="K80"/>
    </row>
    <row r="81" spans="10:11" x14ac:dyDescent="0.25">
      <c r="J81"/>
      <c r="K81"/>
    </row>
    <row r="82" spans="10:11" x14ac:dyDescent="0.25">
      <c r="J82"/>
      <c r="K82"/>
    </row>
    <row r="83" spans="10:11" x14ac:dyDescent="0.25">
      <c r="J83"/>
      <c r="K83"/>
    </row>
    <row r="84" spans="10:11" x14ac:dyDescent="0.25">
      <c r="J84"/>
      <c r="K84"/>
    </row>
    <row r="85" spans="10:11" x14ac:dyDescent="0.25">
      <c r="J85"/>
      <c r="K85"/>
    </row>
  </sheetData>
  <mergeCells count="1">
    <mergeCell ref="J1:K1"/>
  </mergeCells>
  <conditionalFormatting sqref="B1">
    <cfRule type="cellIs" dxfId="88" priority="1" operator="equal">
      <formula>"Incomplete"</formula>
    </cfRule>
    <cfRule type="cellIs" dxfId="87" priority="2" operator="equal">
      <formula>"Flag for Review"</formula>
    </cfRule>
    <cfRule type="cellIs" dxfId="86"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8 A12 A22">
      <formula1>0</formula1>
      <formula2>A7</formula2>
    </dataValidation>
  </dataValidations>
  <hyperlinks>
    <hyperlink ref="J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20"/>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x14ac:dyDescent="0.25">
      <c r="A1" s="7">
        <v>6</v>
      </c>
      <c r="B1" s="41" t="s">
        <v>12</v>
      </c>
      <c r="C1" s="28"/>
      <c r="D1" s="28"/>
      <c r="E1" s="28"/>
      <c r="F1" s="28"/>
      <c r="G1" s="28"/>
      <c r="H1" s="388" t="s">
        <v>30</v>
      </c>
      <c r="I1" s="390"/>
      <c r="K1" s="29" t="s">
        <v>54</v>
      </c>
      <c r="L1" s="70" t="s">
        <v>868</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1.5</v>
      </c>
      <c r="B4" s="27"/>
      <c r="C4" s="27"/>
      <c r="D4" s="27"/>
      <c r="E4" s="27"/>
      <c r="F4" s="27"/>
      <c r="G4" s="27"/>
      <c r="H4" s="27"/>
      <c r="I4" s="31"/>
      <c r="K4" s="57" t="s">
        <v>2</v>
      </c>
      <c r="L4" s="29" t="s">
        <v>75</v>
      </c>
    </row>
    <row r="5" spans="1:12" x14ac:dyDescent="0.25">
      <c r="A5" s="30"/>
      <c r="B5" s="27"/>
      <c r="C5" s="27"/>
      <c r="D5" s="27"/>
      <c r="E5" s="27"/>
      <c r="F5" s="27"/>
      <c r="G5" s="27"/>
      <c r="H5" s="27"/>
      <c r="I5" s="31"/>
      <c r="L5" s="29" t="s">
        <v>76</v>
      </c>
    </row>
    <row r="6" spans="1:12" x14ac:dyDescent="0.25">
      <c r="A6" s="35" t="s">
        <v>2</v>
      </c>
      <c r="B6" s="27" t="s">
        <v>74</v>
      </c>
      <c r="C6" s="27"/>
      <c r="D6" s="27"/>
      <c r="E6" s="27"/>
      <c r="F6" s="27"/>
      <c r="G6" s="27"/>
      <c r="H6" s="27"/>
      <c r="I6" s="31"/>
    </row>
    <row r="7" spans="1:12" ht="15.75" thickBot="1" x14ac:dyDescent="0.3">
      <c r="A7" s="9">
        <f>INDEX('Point Grid'!$C$8:$I$35,MATCH($A$1,'Point Grid'!$A$8:$A$35,0),MATCH(A6,'Point Grid'!$C$7:$I$7,0))</f>
        <v>0.5</v>
      </c>
      <c r="B7" s="27"/>
      <c r="C7" s="27"/>
      <c r="D7" s="27"/>
      <c r="E7" s="27"/>
      <c r="F7" s="27"/>
      <c r="G7" s="27"/>
      <c r="H7" s="27"/>
      <c r="I7" s="31"/>
      <c r="K7" s="57" t="s">
        <v>3</v>
      </c>
      <c r="L7" s="58" t="s">
        <v>78</v>
      </c>
    </row>
    <row r="8" spans="1:12" ht="15.75" thickBot="1" x14ac:dyDescent="0.3">
      <c r="A8" s="5"/>
      <c r="B8" s="27"/>
      <c r="C8" s="27"/>
      <c r="D8" s="27"/>
      <c r="E8" s="27"/>
      <c r="F8" s="27"/>
      <c r="G8" s="27"/>
      <c r="H8" s="27"/>
      <c r="I8" s="31"/>
      <c r="L8" s="29" t="s">
        <v>79</v>
      </c>
    </row>
    <row r="9" spans="1:12" x14ac:dyDescent="0.25">
      <c r="A9" s="30"/>
      <c r="B9" s="27"/>
      <c r="C9" s="27"/>
      <c r="D9" s="27"/>
      <c r="E9" s="27"/>
      <c r="F9" s="27"/>
      <c r="G9" s="27"/>
      <c r="H9" s="27"/>
      <c r="I9" s="31"/>
      <c r="L9" s="29" t="s">
        <v>80</v>
      </c>
    </row>
    <row r="10" spans="1:12" x14ac:dyDescent="0.25">
      <c r="A10" s="35" t="s">
        <v>3</v>
      </c>
      <c r="B10" s="27" t="s">
        <v>789</v>
      </c>
      <c r="C10" s="27"/>
      <c r="D10" s="27"/>
      <c r="E10" s="27"/>
      <c r="F10" s="27"/>
      <c r="G10" s="27"/>
      <c r="H10" s="27"/>
      <c r="I10" s="31"/>
      <c r="L10" s="29" t="s">
        <v>81</v>
      </c>
    </row>
    <row r="11" spans="1:12" ht="15.75" thickBot="1" x14ac:dyDescent="0.3">
      <c r="A11" s="9">
        <f>INDEX('Point Grid'!$C$8:$I$35,MATCH($A$1,'Point Grid'!$A$8:$A$35,0),MATCH(A10,'Point Grid'!$C$7:$I$7,0))</f>
        <v>1</v>
      </c>
      <c r="B11" s="27" t="s">
        <v>77</v>
      </c>
      <c r="C11" s="27"/>
      <c r="D11" s="27"/>
      <c r="E11" s="27"/>
      <c r="F11" s="27"/>
      <c r="G11" s="27"/>
      <c r="H11" s="27"/>
      <c r="I11" s="31"/>
      <c r="L11" s="29" t="s">
        <v>82</v>
      </c>
    </row>
    <row r="12" spans="1:12" ht="15.75" thickBot="1" x14ac:dyDescent="0.3">
      <c r="A12" s="5"/>
      <c r="B12" s="27"/>
      <c r="C12" s="27"/>
      <c r="D12" s="27"/>
      <c r="E12" s="27"/>
      <c r="F12" s="27"/>
      <c r="G12" s="27"/>
      <c r="H12" s="27"/>
      <c r="I12" s="31"/>
      <c r="L12" s="29" t="s">
        <v>85</v>
      </c>
    </row>
    <row r="13" spans="1:12" x14ac:dyDescent="0.25">
      <c r="A13" s="30"/>
      <c r="B13" s="27"/>
      <c r="C13" s="27"/>
      <c r="D13" s="27"/>
      <c r="E13" s="27"/>
      <c r="F13" s="27"/>
      <c r="G13" s="27"/>
      <c r="H13" s="27"/>
      <c r="I13" s="31"/>
      <c r="L13" s="29" t="s">
        <v>86</v>
      </c>
    </row>
    <row r="14" spans="1:12" x14ac:dyDescent="0.25">
      <c r="A14" s="30"/>
      <c r="B14" s="27"/>
      <c r="C14" s="27"/>
      <c r="D14" s="27"/>
      <c r="E14" s="27"/>
      <c r="F14" s="27"/>
      <c r="G14" s="27"/>
      <c r="H14" s="27"/>
      <c r="I14" s="31"/>
      <c r="L14" s="29" t="s">
        <v>83</v>
      </c>
    </row>
    <row r="15" spans="1:12" x14ac:dyDescent="0.25">
      <c r="A15" s="30"/>
      <c r="B15" s="27"/>
      <c r="C15" s="27"/>
      <c r="D15" s="27"/>
      <c r="E15" s="27"/>
      <c r="F15" s="27"/>
      <c r="G15" s="27"/>
      <c r="H15" s="27"/>
      <c r="I15" s="31"/>
      <c r="L15" s="29" t="s">
        <v>87</v>
      </c>
    </row>
    <row r="16" spans="1:12" x14ac:dyDescent="0.25">
      <c r="A16" s="30"/>
      <c r="B16" s="27"/>
      <c r="C16" s="27"/>
      <c r="D16" s="27"/>
      <c r="E16" s="27"/>
      <c r="F16" s="27"/>
      <c r="G16" s="27"/>
      <c r="H16" s="27"/>
      <c r="I16" s="31"/>
      <c r="L16" s="29" t="s">
        <v>88</v>
      </c>
    </row>
    <row r="17" spans="1:12" x14ac:dyDescent="0.25">
      <c r="A17" s="30"/>
      <c r="B17" s="27"/>
      <c r="C17" s="27"/>
      <c r="D17" s="27"/>
      <c r="E17" s="27"/>
      <c r="F17" s="27"/>
      <c r="G17" s="27"/>
      <c r="H17" s="27"/>
      <c r="I17" s="31"/>
      <c r="L17" s="29" t="s">
        <v>84</v>
      </c>
    </row>
    <row r="18" spans="1:12" x14ac:dyDescent="0.25">
      <c r="A18" s="30"/>
      <c r="B18" s="27"/>
      <c r="C18" s="27"/>
      <c r="D18" s="27"/>
      <c r="E18" s="27"/>
      <c r="F18" s="27"/>
      <c r="G18" s="27"/>
      <c r="H18" s="27"/>
      <c r="I18" s="31"/>
      <c r="L18" s="29" t="s">
        <v>89</v>
      </c>
    </row>
    <row r="19" spans="1:12" x14ac:dyDescent="0.25">
      <c r="A19" s="30"/>
      <c r="B19" s="27"/>
      <c r="C19" s="27"/>
      <c r="D19" s="27"/>
      <c r="E19" s="27"/>
      <c r="F19" s="27"/>
      <c r="G19" s="27"/>
      <c r="H19" s="27"/>
      <c r="I19" s="31"/>
    </row>
    <row r="20" spans="1:12" ht="15.75" thickBot="1" x14ac:dyDescent="0.3">
      <c r="A20" s="32"/>
      <c r="B20" s="33"/>
      <c r="C20" s="33"/>
      <c r="D20" s="33"/>
      <c r="E20" s="33"/>
      <c r="F20" s="33"/>
      <c r="G20" s="33"/>
      <c r="H20" s="33"/>
      <c r="I20" s="34"/>
    </row>
  </sheetData>
  <mergeCells count="1">
    <mergeCell ref="H1:I1"/>
  </mergeCells>
  <conditionalFormatting sqref="B1">
    <cfRule type="cellIs" dxfId="85" priority="1" operator="equal">
      <formula>"Incomplete"</formula>
    </cfRule>
    <cfRule type="cellIs" dxfId="84" priority="2" operator="equal">
      <formula>"Flag for Review"</formula>
    </cfRule>
    <cfRule type="cellIs" dxfId="83"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S24"/>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x14ac:dyDescent="0.25">
      <c r="A1" s="7">
        <v>7</v>
      </c>
      <c r="B1" s="41" t="s">
        <v>12</v>
      </c>
      <c r="C1" s="28"/>
      <c r="D1" s="28"/>
      <c r="E1" s="28"/>
      <c r="F1" s="28"/>
      <c r="G1" s="28"/>
      <c r="H1" s="388" t="s">
        <v>30</v>
      </c>
      <c r="I1" s="390"/>
      <c r="K1" s="29" t="s">
        <v>54</v>
      </c>
      <c r="L1" s="70" t="s">
        <v>869</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2.75</v>
      </c>
      <c r="B4" s="27"/>
      <c r="C4" s="27"/>
      <c r="D4" s="27"/>
      <c r="E4" s="27"/>
      <c r="F4" s="27"/>
      <c r="G4" s="27"/>
      <c r="H4" s="27"/>
      <c r="I4" s="31"/>
      <c r="K4" s="57" t="s">
        <v>2</v>
      </c>
      <c r="L4" s="29" t="s">
        <v>101</v>
      </c>
    </row>
    <row r="5" spans="1:12" x14ac:dyDescent="0.25">
      <c r="A5" s="30"/>
      <c r="B5" s="27"/>
      <c r="C5" s="27"/>
      <c r="D5" s="27"/>
      <c r="E5" s="27"/>
      <c r="F5" s="27"/>
      <c r="G5" s="27"/>
      <c r="H5" s="27"/>
      <c r="I5" s="31"/>
      <c r="L5" s="29" t="s">
        <v>100</v>
      </c>
    </row>
    <row r="6" spans="1:12" x14ac:dyDescent="0.25">
      <c r="A6" s="35" t="s">
        <v>2</v>
      </c>
      <c r="B6" s="27" t="s">
        <v>90</v>
      </c>
      <c r="C6" s="27"/>
      <c r="D6" s="27"/>
      <c r="E6" s="27"/>
      <c r="F6" s="27"/>
      <c r="G6" s="27"/>
      <c r="H6" s="27"/>
      <c r="I6" s="31"/>
    </row>
    <row r="7" spans="1:12" ht="15.75" thickBot="1" x14ac:dyDescent="0.3">
      <c r="A7" s="9">
        <f>INDEX('Point Grid'!$C$8:$I$35,MATCH($A$1,'Point Grid'!$A$8:$A$35,0),MATCH(A6,'Point Grid'!$C$7:$I$7,0))</f>
        <v>0.25</v>
      </c>
      <c r="B7" s="27"/>
      <c r="C7" s="27"/>
      <c r="D7" s="27"/>
      <c r="E7" s="27"/>
      <c r="F7" s="27"/>
      <c r="G7" s="27"/>
      <c r="H7" s="27"/>
      <c r="I7" s="31"/>
      <c r="K7" s="57" t="s">
        <v>3</v>
      </c>
      <c r="L7" s="29" t="s">
        <v>102</v>
      </c>
    </row>
    <row r="8" spans="1:12" ht="15.75" thickBot="1" x14ac:dyDescent="0.3">
      <c r="A8" s="5"/>
      <c r="B8" s="27"/>
      <c r="C8" s="27"/>
      <c r="D8" s="27"/>
      <c r="E8" s="27"/>
      <c r="F8" s="27"/>
      <c r="G8" s="27"/>
      <c r="H8" s="27"/>
      <c r="I8" s="31"/>
      <c r="L8" s="29" t="s">
        <v>103</v>
      </c>
    </row>
    <row r="9" spans="1:12" x14ac:dyDescent="0.25">
      <c r="A9" s="30"/>
      <c r="B9" s="27"/>
      <c r="C9" s="27"/>
      <c r="D9" s="27"/>
      <c r="E9" s="27"/>
      <c r="F9" s="27"/>
      <c r="G9" s="27"/>
      <c r="H9" s="27"/>
      <c r="I9" s="31"/>
    </row>
    <row r="10" spans="1:12" x14ac:dyDescent="0.25">
      <c r="A10" s="35" t="s">
        <v>3</v>
      </c>
      <c r="B10" s="27" t="s">
        <v>91</v>
      </c>
      <c r="C10" s="27"/>
      <c r="D10" s="27"/>
      <c r="E10" s="27"/>
      <c r="F10" s="27"/>
      <c r="G10" s="27"/>
      <c r="H10" s="27"/>
      <c r="I10" s="31"/>
      <c r="K10" s="57" t="s">
        <v>4</v>
      </c>
      <c r="L10" s="58" t="s">
        <v>104</v>
      </c>
    </row>
    <row r="11" spans="1:12" ht="15.75" thickBot="1" x14ac:dyDescent="0.3">
      <c r="A11" s="9">
        <f>INDEX('Point Grid'!$C$8:$I$35,MATCH($A$1,'Point Grid'!$A$8:$A$35,0),MATCH(A10,'Point Grid'!$C$7:$I$7,0))</f>
        <v>1</v>
      </c>
      <c r="B11" s="27"/>
      <c r="C11" s="27"/>
      <c r="D11" s="27"/>
      <c r="E11" s="27"/>
      <c r="F11" s="27"/>
      <c r="G11" s="27"/>
      <c r="H11" s="27"/>
      <c r="I11" s="31"/>
      <c r="L11" s="29" t="s">
        <v>105</v>
      </c>
    </row>
    <row r="12" spans="1:12" ht="15.75" thickBot="1" x14ac:dyDescent="0.3">
      <c r="A12" s="5"/>
      <c r="B12" s="27"/>
      <c r="C12" s="27"/>
      <c r="D12" s="27"/>
      <c r="E12" s="27"/>
      <c r="F12" s="27"/>
      <c r="G12" s="27"/>
      <c r="H12" s="27"/>
      <c r="I12" s="31"/>
      <c r="L12" s="29" t="s">
        <v>108</v>
      </c>
    </row>
    <row r="13" spans="1:12" x14ac:dyDescent="0.25">
      <c r="A13" s="30"/>
      <c r="B13" s="27"/>
      <c r="C13" s="27"/>
      <c r="D13" s="27"/>
      <c r="E13" s="27"/>
      <c r="F13" s="27"/>
      <c r="G13" s="27"/>
      <c r="H13" s="27"/>
      <c r="I13" s="31"/>
      <c r="L13" s="29" t="s">
        <v>106</v>
      </c>
    </row>
    <row r="14" spans="1:12" x14ac:dyDescent="0.25">
      <c r="A14" s="35" t="s">
        <v>4</v>
      </c>
      <c r="B14" s="27" t="s">
        <v>92</v>
      </c>
      <c r="C14" s="27"/>
      <c r="D14" s="27"/>
      <c r="E14" s="27"/>
      <c r="F14" s="27"/>
      <c r="G14" s="27"/>
      <c r="H14" s="27"/>
      <c r="I14" s="31"/>
      <c r="L14" s="29" t="s">
        <v>109</v>
      </c>
    </row>
    <row r="15" spans="1:12" ht="15.75" thickBot="1" x14ac:dyDescent="0.3">
      <c r="A15" s="9">
        <f>INDEX('Point Grid'!$C$8:$I$35,MATCH($A$1,'Point Grid'!$A$8:$A$35,0),MATCH(A14,'Point Grid'!$C$7:$I$7,0))</f>
        <v>1</v>
      </c>
      <c r="B15" s="27" t="s">
        <v>93</v>
      </c>
      <c r="C15" s="27"/>
      <c r="D15" s="27"/>
      <c r="E15" s="27"/>
      <c r="F15" s="27"/>
      <c r="G15" s="27"/>
      <c r="H15" s="27"/>
      <c r="I15" s="31"/>
    </row>
    <row r="16" spans="1:12" ht="15.75" thickBot="1" x14ac:dyDescent="0.3">
      <c r="A16" s="5"/>
      <c r="B16" s="27"/>
      <c r="C16" s="27"/>
      <c r="D16" s="27"/>
      <c r="E16" s="27"/>
      <c r="F16" s="27"/>
      <c r="G16" s="27"/>
      <c r="H16" s="27"/>
      <c r="I16" s="31"/>
      <c r="L16" s="58" t="s">
        <v>107</v>
      </c>
    </row>
    <row r="17" spans="1:19" x14ac:dyDescent="0.25">
      <c r="A17" s="30"/>
      <c r="B17" s="27"/>
      <c r="C17" s="27"/>
      <c r="D17" s="27"/>
      <c r="E17" s="27"/>
      <c r="F17" s="27"/>
      <c r="G17" s="27"/>
      <c r="H17" s="27"/>
      <c r="I17" s="31"/>
      <c r="L17" s="29" t="s">
        <v>105</v>
      </c>
    </row>
    <row r="18" spans="1:19" x14ac:dyDescent="0.25">
      <c r="A18" s="35" t="s">
        <v>5</v>
      </c>
      <c r="B18" s="27" t="s">
        <v>796</v>
      </c>
      <c r="C18" s="27"/>
      <c r="D18" s="27"/>
      <c r="E18" s="27"/>
      <c r="F18" s="27"/>
      <c r="G18" s="27"/>
      <c r="H18" s="27"/>
      <c r="I18" s="31"/>
      <c r="L18" s="29" t="s">
        <v>110</v>
      </c>
    </row>
    <row r="19" spans="1:19" ht="15.75" thickBot="1" x14ac:dyDescent="0.3">
      <c r="A19" s="9">
        <f>INDEX('Point Grid'!$C$8:$I$35,MATCH($A$1,'Point Grid'!$A$8:$A$35,0),MATCH(A18,'Point Grid'!$C$7:$I$7,0))</f>
        <v>0.5</v>
      </c>
      <c r="B19" s="27" t="s">
        <v>94</v>
      </c>
      <c r="C19" s="27"/>
      <c r="D19" s="27"/>
      <c r="E19" s="27"/>
      <c r="F19" s="27"/>
      <c r="G19" s="27"/>
      <c r="H19" s="27"/>
      <c r="I19" s="31"/>
      <c r="L19" s="29" t="s">
        <v>106</v>
      </c>
    </row>
    <row r="20" spans="1:19" ht="15.75" thickBot="1" x14ac:dyDescent="0.3">
      <c r="A20" s="5"/>
      <c r="B20" s="27"/>
      <c r="C20" s="27"/>
      <c r="D20" s="27"/>
      <c r="E20" s="27"/>
      <c r="F20" s="27"/>
      <c r="G20" s="27"/>
      <c r="H20" s="27"/>
      <c r="I20" s="31"/>
      <c r="L20" s="29" t="s">
        <v>111</v>
      </c>
    </row>
    <row r="21" spans="1:19" x14ac:dyDescent="0.25">
      <c r="A21" s="30"/>
      <c r="B21" s="64" t="s">
        <v>95</v>
      </c>
      <c r="C21" s="56" t="s">
        <v>98</v>
      </c>
      <c r="D21" s="55" t="s">
        <v>99</v>
      </c>
      <c r="E21" s="27"/>
      <c r="F21" s="27"/>
      <c r="G21" s="27"/>
      <c r="H21" s="27"/>
      <c r="I21" s="31"/>
    </row>
    <row r="22" spans="1:19" x14ac:dyDescent="0.25">
      <c r="A22" s="30"/>
      <c r="B22" s="65" t="s">
        <v>96</v>
      </c>
      <c r="C22" s="40">
        <v>100</v>
      </c>
      <c r="D22" s="67">
        <v>900</v>
      </c>
      <c r="E22" s="27"/>
      <c r="F22" s="27"/>
      <c r="G22" s="27"/>
      <c r="H22" s="27"/>
      <c r="I22" s="31"/>
      <c r="K22" s="57" t="s">
        <v>5</v>
      </c>
      <c r="L22" s="29" t="s">
        <v>112</v>
      </c>
      <c r="N22" s="57" t="s">
        <v>113</v>
      </c>
      <c r="O22" s="29" t="s">
        <v>114</v>
      </c>
      <c r="R22" s="59" t="s">
        <v>115</v>
      </c>
      <c r="S22" s="29" t="s">
        <v>116</v>
      </c>
    </row>
    <row r="23" spans="1:19" x14ac:dyDescent="0.25">
      <c r="A23" s="30"/>
      <c r="B23" s="66" t="s">
        <v>97</v>
      </c>
      <c r="C23" s="68">
        <v>2000</v>
      </c>
      <c r="D23" s="69">
        <v>15000</v>
      </c>
      <c r="E23" s="27"/>
      <c r="F23" s="27"/>
      <c r="G23" s="27"/>
      <c r="H23" s="27"/>
      <c r="I23" s="31"/>
      <c r="N23" s="57" t="s">
        <v>113</v>
      </c>
      <c r="O23" s="71">
        <f>D22</f>
        <v>900</v>
      </c>
      <c r="R23" s="59" t="s">
        <v>115</v>
      </c>
      <c r="S23" s="71">
        <f>D23</f>
        <v>15000</v>
      </c>
    </row>
    <row r="24" spans="1:19" ht="15.75" thickBot="1" x14ac:dyDescent="0.3">
      <c r="A24" s="32"/>
      <c r="B24" s="33"/>
      <c r="C24" s="33"/>
      <c r="D24" s="33"/>
      <c r="E24" s="33"/>
      <c r="F24" s="33"/>
      <c r="G24" s="33"/>
      <c r="H24" s="33"/>
      <c r="I24" s="34"/>
      <c r="N24" s="57" t="s">
        <v>113</v>
      </c>
      <c r="O24" s="72">
        <f>O23/S23</f>
        <v>0.06</v>
      </c>
      <c r="P24" s="70" t="s">
        <v>117</v>
      </c>
    </row>
  </sheetData>
  <mergeCells count="1">
    <mergeCell ref="H1:I1"/>
  </mergeCells>
  <conditionalFormatting sqref="B1">
    <cfRule type="cellIs" dxfId="82" priority="1" operator="equal">
      <formula>"Incomplete"</formula>
    </cfRule>
    <cfRule type="cellIs" dxfId="81" priority="2" operator="equal">
      <formula>"Flag for Review"</formula>
    </cfRule>
    <cfRule type="cellIs" dxfId="80"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Instructions</vt:lpstr>
      <vt:lpstr>Point Grid</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Tjun Tuen</cp:lastModifiedBy>
  <dcterms:created xsi:type="dcterms:W3CDTF">2020-12-22T11:57:29Z</dcterms:created>
  <dcterms:modified xsi:type="dcterms:W3CDTF">2025-09-23T02:54:34Z</dcterms:modified>
</cp:coreProperties>
</file>