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wner\Desktop\OneDrive\Exam(6).2016.Fall\practice exams\submissions\"/>
    </mc:Choice>
  </mc:AlternateContent>
  <bookViews>
    <workbookView xWindow="0" yWindow="0" windowWidth="24000" windowHeight="9735" tabRatio="670"/>
  </bookViews>
  <sheets>
    <sheet name="Instructions" sheetId="3" r:id="rId1"/>
    <sheet name="Point Grid" sheetId="1" r:id="rId2"/>
    <sheet name="1" sheetId="2" r:id="rId3"/>
    <sheet name="2" sheetId="4" r:id="rId4"/>
    <sheet name="3" sheetId="5" r:id="rId5"/>
    <sheet name="4" sheetId="53" r:id="rId6"/>
    <sheet name="5" sheetId="52" r:id="rId7"/>
    <sheet name="6" sheetId="51" r:id="rId8"/>
    <sheet name="7" sheetId="50" r:id="rId9"/>
    <sheet name="8" sheetId="49" r:id="rId10"/>
    <sheet name="9" sheetId="42" r:id="rId11"/>
    <sheet name="10" sheetId="38" r:id="rId12"/>
    <sheet name="11" sheetId="37" r:id="rId13"/>
    <sheet name="12" sheetId="36" r:id="rId14"/>
    <sheet name="13" sheetId="61" r:id="rId15"/>
    <sheet name="14" sheetId="62" r:id="rId16"/>
    <sheet name="15" sheetId="63" r:id="rId17"/>
    <sheet name="16" sheetId="35" r:id="rId18"/>
    <sheet name="17" sheetId="54" r:id="rId19"/>
    <sheet name="18" sheetId="20" r:id="rId20"/>
    <sheet name="19" sheetId="21" r:id="rId21"/>
    <sheet name="20" sheetId="22" r:id="rId22"/>
    <sheet name="21" sheetId="23" r:id="rId23"/>
    <sheet name="22" sheetId="30" r:id="rId24"/>
    <sheet name="23" sheetId="29" r:id="rId25"/>
    <sheet name="24" sheetId="28" r:id="rId26"/>
    <sheet name="25" sheetId="27" r:id="rId27"/>
    <sheet name="26" sheetId="26" r:id="rId28"/>
    <sheet name="27" sheetId="25" r:id="rId29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4" i="63" l="1"/>
  <c r="R13" i="63"/>
  <c r="P13" i="63"/>
  <c r="U14" i="54" l="1"/>
  <c r="A19" i="25" l="1"/>
  <c r="A15" i="25"/>
  <c r="A11" i="25"/>
  <c r="A7" i="25"/>
  <c r="N33" i="1"/>
  <c r="M33" i="1"/>
  <c r="A15" i="26"/>
  <c r="A11" i="26"/>
  <c r="O32" i="1" l="1"/>
  <c r="P32" i="1"/>
  <c r="N32" i="1"/>
  <c r="M32" i="1"/>
  <c r="A15" i="27"/>
  <c r="A11" i="27"/>
  <c r="A7" i="27"/>
  <c r="O29" i="27"/>
  <c r="W29" i="27"/>
  <c r="O17" i="27"/>
  <c r="O31" i="27"/>
  <c r="U20" i="28"/>
  <c r="R20" i="28"/>
  <c r="O20" i="28"/>
  <c r="R14" i="28"/>
  <c r="O14" i="28"/>
  <c r="R13" i="28"/>
  <c r="O13" i="28"/>
  <c r="L29" i="62"/>
  <c r="L28" i="62"/>
  <c r="L27" i="62"/>
  <c r="M17" i="62"/>
  <c r="Q23" i="62"/>
  <c r="Q27" i="62"/>
  <c r="O23" i="62"/>
  <c r="O19" i="62"/>
  <c r="W15" i="62"/>
  <c r="Q15" i="62"/>
  <c r="W14" i="62"/>
  <c r="Q28" i="62" s="1"/>
  <c r="V14" i="62"/>
  <c r="U28" i="62" s="1"/>
  <c r="Q14" i="62"/>
  <c r="S28" i="62" s="1"/>
  <c r="W13" i="62"/>
  <c r="V13" i="62"/>
  <c r="O27" i="62" s="1"/>
  <c r="Q13" i="62"/>
  <c r="S27" i="62" s="1"/>
  <c r="W12" i="62"/>
  <c r="S19" i="62" s="1"/>
  <c r="S20" i="62" s="1"/>
  <c r="V12" i="62"/>
  <c r="T23" i="62" s="1"/>
  <c r="Q12" i="62"/>
  <c r="U19" i="62" s="1"/>
  <c r="U20" i="62" s="1"/>
  <c r="M12" i="62"/>
  <c r="S12" i="62" s="1"/>
  <c r="N11" i="62"/>
  <c r="T11" i="62" s="1"/>
  <c r="C13" i="62"/>
  <c r="C14" i="62" s="1"/>
  <c r="D15" i="61"/>
  <c r="D14" i="61"/>
  <c r="R26" i="1"/>
  <c r="Q26" i="1"/>
  <c r="P26" i="1"/>
  <c r="O26" i="1"/>
  <c r="A44" i="21"/>
  <c r="A40" i="21"/>
  <c r="A36" i="21"/>
  <c r="A32" i="21"/>
  <c r="A11" i="21"/>
  <c r="A7" i="21"/>
  <c r="V43" i="21"/>
  <c r="U43" i="21"/>
  <c r="T43" i="21"/>
  <c r="S43" i="21"/>
  <c r="R43" i="21"/>
  <c r="V42" i="21"/>
  <c r="U42" i="21"/>
  <c r="U44" i="21" s="1"/>
  <c r="T42" i="21"/>
  <c r="T44" i="21" s="1"/>
  <c r="S42" i="21"/>
  <c r="R42" i="21"/>
  <c r="V35" i="21"/>
  <c r="U35" i="21"/>
  <c r="T35" i="21"/>
  <c r="S35" i="21"/>
  <c r="R35" i="21"/>
  <c r="V34" i="21"/>
  <c r="V36" i="21" s="1"/>
  <c r="U34" i="21"/>
  <c r="T34" i="21"/>
  <c r="S34" i="21"/>
  <c r="S36" i="21" s="1"/>
  <c r="R34" i="21"/>
  <c r="R36" i="21" s="1"/>
  <c r="R27" i="21"/>
  <c r="S27" i="21" s="1"/>
  <c r="T27" i="21" s="1"/>
  <c r="U27" i="21" s="1"/>
  <c r="V26" i="21"/>
  <c r="U26" i="21"/>
  <c r="T26" i="21"/>
  <c r="S26" i="21"/>
  <c r="R26" i="21"/>
  <c r="R19" i="21"/>
  <c r="S19" i="21" s="1"/>
  <c r="T19" i="21" s="1"/>
  <c r="U19" i="21" s="1"/>
  <c r="V18" i="21"/>
  <c r="U18" i="21"/>
  <c r="T18" i="21"/>
  <c r="S18" i="21"/>
  <c r="R18" i="21"/>
  <c r="R20" i="21" s="1"/>
  <c r="R17" i="21"/>
  <c r="S17" i="21" s="1"/>
  <c r="T17" i="21" s="1"/>
  <c r="U17" i="21" s="1"/>
  <c r="V17" i="21" s="1"/>
  <c r="S20" i="21" l="1"/>
  <c r="U36" i="21"/>
  <c r="S28" i="21"/>
  <c r="R28" i="21"/>
  <c r="T36" i="21"/>
  <c r="O14" i="27"/>
  <c r="Y14" i="27"/>
  <c r="U8" i="27"/>
  <c r="W14" i="27"/>
  <c r="W15" i="27" s="1"/>
  <c r="P53" i="27" s="1"/>
  <c r="Y31" i="27"/>
  <c r="W17" i="27"/>
  <c r="O15" i="28"/>
  <c r="O21" i="28"/>
  <c r="Q24" i="62"/>
  <c r="W20" i="62" s="1"/>
  <c r="V23" i="62"/>
  <c r="O28" i="62"/>
  <c r="W28" i="62" s="1"/>
  <c r="P11" i="62"/>
  <c r="C15" i="62"/>
  <c r="D11" i="62"/>
  <c r="Q19" i="62"/>
  <c r="Q20" i="62" s="1"/>
  <c r="Q21" i="62" s="1"/>
  <c r="O11" i="62"/>
  <c r="U11" i="62" s="1"/>
  <c r="U27" i="62"/>
  <c r="W27" i="62" s="1"/>
  <c r="M13" i="62"/>
  <c r="S44" i="21"/>
  <c r="T20" i="21"/>
  <c r="R44" i="21"/>
  <c r="V44" i="21"/>
  <c r="U28" i="21"/>
  <c r="V27" i="21"/>
  <c r="V28" i="21" s="1"/>
  <c r="T28" i="21"/>
  <c r="U20" i="21"/>
  <c r="V19" i="21"/>
  <c r="V20" i="21" s="1"/>
  <c r="R25" i="21"/>
  <c r="P52" i="27" l="1"/>
  <c r="W21" i="27"/>
  <c r="U24" i="27" s="1"/>
  <c r="W31" i="27"/>
  <c r="W32" i="27" s="1"/>
  <c r="W34" i="27" s="1"/>
  <c r="S38" i="27" s="1"/>
  <c r="P51" i="27"/>
  <c r="S8" i="27"/>
  <c r="S9" i="27" s="1"/>
  <c r="S11" i="27" s="1"/>
  <c r="W30" i="62"/>
  <c r="F11" i="62"/>
  <c r="E11" i="62"/>
  <c r="M4" i="62"/>
  <c r="Q11" i="62"/>
  <c r="M14" i="62"/>
  <c r="S13" i="62"/>
  <c r="V11" i="62"/>
  <c r="R33" i="21"/>
  <c r="S25" i="21"/>
  <c r="T25" i="21" s="1"/>
  <c r="U25" i="21" s="1"/>
  <c r="V25" i="21" s="1"/>
  <c r="P55" i="27" l="1"/>
  <c r="R24" i="27"/>
  <c r="R25" i="27" s="1"/>
  <c r="O38" i="27" s="1"/>
  <c r="O39" i="27" s="1"/>
  <c r="O58" i="27"/>
  <c r="W11" i="62"/>
  <c r="S14" i="62"/>
  <c r="M15" i="62"/>
  <c r="S15" i="62" s="1"/>
  <c r="R41" i="21"/>
  <c r="S41" i="21" s="1"/>
  <c r="T41" i="21" s="1"/>
  <c r="U41" i="21" s="1"/>
  <c r="V41" i="21" s="1"/>
  <c r="S33" i="21"/>
  <c r="T33" i="21" s="1"/>
  <c r="U33" i="21" s="1"/>
  <c r="V33" i="21" s="1"/>
  <c r="O20" i="1" l="1"/>
  <c r="N20" i="1"/>
  <c r="A23" i="61"/>
  <c r="A18" i="61"/>
  <c r="A7" i="61"/>
  <c r="R14" i="61"/>
  <c r="P14" i="61"/>
  <c r="N14" i="61"/>
  <c r="S9" i="61"/>
  <c r="N9" i="61"/>
  <c r="P83" i="54"/>
  <c r="O83" i="54"/>
  <c r="P82" i="54"/>
  <c r="O82" i="54"/>
  <c r="O24" i="1"/>
  <c r="N24" i="1"/>
  <c r="M24" i="1"/>
  <c r="A75" i="54"/>
  <c r="A32" i="54"/>
  <c r="A7" i="54"/>
  <c r="S115" i="54"/>
  <c r="Q115" i="54"/>
  <c r="U115" i="54" s="1"/>
  <c r="S114" i="54"/>
  <c r="Q114" i="54"/>
  <c r="U114" i="54" s="1"/>
  <c r="Q108" i="54"/>
  <c r="W108" i="54" s="1"/>
  <c r="Q107" i="54"/>
  <c r="W107" i="54" s="1"/>
  <c r="Q106" i="54"/>
  <c r="W106" i="54" s="1"/>
  <c r="Q105" i="54"/>
  <c r="W105" i="54" s="1"/>
  <c r="Q104" i="54"/>
  <c r="Q83" i="54"/>
  <c r="R83" i="54" s="1"/>
  <c r="S83" i="54" s="1"/>
  <c r="T83" i="54" s="1"/>
  <c r="Q82" i="54"/>
  <c r="R82" i="54" s="1"/>
  <c r="S82" i="54" s="1"/>
  <c r="T82" i="54" s="1"/>
  <c r="T73" i="54"/>
  <c r="R73" i="54"/>
  <c r="T72" i="54"/>
  <c r="R72" i="54"/>
  <c r="Q59" i="54"/>
  <c r="V92" i="54" s="1"/>
  <c r="Q57" i="54"/>
  <c r="Q56" i="54"/>
  <c r="Q55" i="54"/>
  <c r="Q54" i="54"/>
  <c r="Q51" i="54"/>
  <c r="Q50" i="54"/>
  <c r="O40" i="54"/>
  <c r="O39" i="54"/>
  <c r="V28" i="54"/>
  <c r="V32" i="54" s="1"/>
  <c r="S14" i="54"/>
  <c r="Q14" i="54"/>
  <c r="U13" i="54"/>
  <c r="S13" i="54"/>
  <c r="Q13" i="54"/>
  <c r="Q3" i="54"/>
  <c r="N15" i="61" l="1"/>
  <c r="P9" i="61" s="1"/>
  <c r="N10" i="61" s="1"/>
  <c r="Q53" i="54"/>
  <c r="V137" i="54" s="1"/>
  <c r="W114" i="54"/>
  <c r="T137" i="54"/>
  <c r="R75" i="54"/>
  <c r="Q48" i="54" s="1"/>
  <c r="T84" i="54"/>
  <c r="Q49" i="54" s="1"/>
  <c r="W115" i="54"/>
  <c r="P16" i="54"/>
  <c r="T19" i="54" s="1"/>
  <c r="P20" i="54" s="1"/>
  <c r="Q4" i="54" s="1"/>
  <c r="T28" i="54" s="1"/>
  <c r="W116" i="54"/>
  <c r="P122" i="54" s="1"/>
  <c r="S92" i="54"/>
  <c r="X137" i="54" l="1"/>
  <c r="Q47" i="54"/>
  <c r="Q29" i="54"/>
  <c r="P39" i="54" s="1"/>
  <c r="Q39" i="54" s="1"/>
  <c r="T32" i="54"/>
  <c r="Q33" i="54" s="1"/>
  <c r="P40" i="54" s="1"/>
  <c r="Q40" i="54" s="1"/>
  <c r="P143" i="54"/>
  <c r="Q41" i="54" l="1"/>
  <c r="Q5" i="54" s="1"/>
  <c r="Q6" i="54" s="1"/>
  <c r="O150" i="54" s="1"/>
  <c r="X139" i="54"/>
  <c r="P92" i="54"/>
  <c r="P93" i="54" s="1"/>
  <c r="R99" i="54" s="1"/>
  <c r="V99" i="54" s="1"/>
  <c r="S128" i="54" s="1"/>
  <c r="W104" i="54" l="1"/>
  <c r="W109" i="54" s="1"/>
  <c r="P121" i="54" s="1"/>
  <c r="P123" i="54" s="1"/>
  <c r="Q128" i="54" s="1"/>
  <c r="P129" i="54" s="1"/>
  <c r="Q61" i="54" s="1"/>
  <c r="R143" i="54"/>
  <c r="T143" i="54"/>
  <c r="P144" i="54" l="1"/>
  <c r="Q63" i="54" s="1"/>
  <c r="Q64" i="54" s="1"/>
  <c r="R150" i="54" s="1"/>
  <c r="O151" i="54" s="1"/>
  <c r="O153" i="54" s="1"/>
  <c r="A23" i="5" l="1"/>
  <c r="A19" i="5"/>
  <c r="L40" i="20" l="1"/>
  <c r="M37" i="20" l="1"/>
  <c r="L26" i="20"/>
  <c r="L18" i="20"/>
  <c r="L16" i="20" s="1"/>
  <c r="L20" i="20" s="1"/>
  <c r="L10" i="20"/>
  <c r="L8" i="20"/>
  <c r="L6" i="20"/>
  <c r="L23" i="20" l="1"/>
  <c r="M27" i="1" l="1"/>
  <c r="A11" i="22"/>
  <c r="A7" i="22"/>
  <c r="A4" i="22"/>
  <c r="P25" i="1"/>
  <c r="O25" i="1"/>
  <c r="N25" i="1"/>
  <c r="M25" i="1"/>
  <c r="A50" i="20"/>
  <c r="A46" i="20"/>
  <c r="A42" i="20"/>
  <c r="A36" i="20"/>
  <c r="A4" i="20"/>
  <c r="L42" i="20"/>
  <c r="F30" i="20"/>
  <c r="L12" i="20"/>
  <c r="A23" i="35"/>
  <c r="A7" i="35"/>
  <c r="A4" i="35"/>
  <c r="N23" i="1"/>
  <c r="M23" i="1"/>
  <c r="O22" i="1"/>
  <c r="N22" i="1"/>
  <c r="M22" i="1"/>
  <c r="A25" i="63"/>
  <c r="A21" i="63"/>
  <c r="A17" i="63"/>
  <c r="M7" i="63"/>
  <c r="M10" i="63" s="1"/>
  <c r="P4" i="63"/>
  <c r="M4" i="63"/>
  <c r="P18" i="1"/>
  <c r="O18" i="1"/>
  <c r="N18" i="1"/>
  <c r="M18" i="1"/>
  <c r="A11" i="42"/>
  <c r="A7" i="42"/>
  <c r="A4" i="42"/>
  <c r="A15" i="52" l="1"/>
  <c r="A11" i="52"/>
  <c r="A7" i="52"/>
  <c r="O9" i="1"/>
  <c r="N9" i="1"/>
  <c r="M9" i="1"/>
  <c r="A15" i="5"/>
  <c r="A11" i="5"/>
  <c r="A7" i="5"/>
  <c r="A16" i="4"/>
  <c r="A12" i="4"/>
  <c r="A8" i="4"/>
  <c r="M15" i="36" l="1"/>
  <c r="O21" i="36" s="1"/>
  <c r="Q11" i="36"/>
  <c r="N15" i="36" s="1"/>
  <c r="R8" i="36"/>
  <c r="Q8" i="36"/>
  <c r="Q7" i="36"/>
  <c r="P8" i="36"/>
  <c r="P7" i="36"/>
  <c r="R7" i="36"/>
  <c r="M7" i="36"/>
  <c r="N7" i="36"/>
  <c r="M8" i="36"/>
  <c r="N8" i="36" s="1"/>
  <c r="L8" i="36"/>
  <c r="L7" i="36"/>
  <c r="M19" i="1"/>
  <c r="N17" i="1"/>
  <c r="M17" i="1"/>
  <c r="A7" i="62"/>
  <c r="O16" i="23"/>
  <c r="N16" i="23"/>
  <c r="O15" i="23"/>
  <c r="N15" i="23"/>
  <c r="O14" i="23"/>
  <c r="N14" i="23"/>
  <c r="O13" i="23"/>
  <c r="N13" i="23"/>
  <c r="P18" i="23" s="1"/>
  <c r="R8" i="23"/>
  <c r="N8" i="23"/>
  <c r="O8" i="23" s="1"/>
  <c r="P8" i="23" s="1"/>
  <c r="Q8" i="23" s="1"/>
  <c r="M8" i="23"/>
  <c r="R7" i="23"/>
  <c r="N7" i="23"/>
  <c r="O7" i="23" s="1"/>
  <c r="P7" i="23" s="1"/>
  <c r="Q7" i="23" s="1"/>
  <c r="M7" i="23"/>
  <c r="R6" i="23"/>
  <c r="N6" i="23"/>
  <c r="O6" i="23" s="1"/>
  <c r="P6" i="23" s="1"/>
  <c r="Q6" i="23" s="1"/>
  <c r="M6" i="23"/>
  <c r="R5" i="23"/>
  <c r="N5" i="23"/>
  <c r="O5" i="23" s="1"/>
  <c r="P5" i="23" s="1"/>
  <c r="Q5" i="23" s="1"/>
  <c r="M5" i="23"/>
  <c r="A20" i="23"/>
  <c r="A24" i="23"/>
  <c r="A28" i="23"/>
  <c r="M17" i="36" l="1"/>
  <c r="N9" i="36"/>
  <c r="O19" i="36"/>
  <c r="P10" i="23"/>
  <c r="P20" i="23" s="1"/>
  <c r="M9" i="36"/>
  <c r="O20" i="36"/>
  <c r="N17" i="36"/>
  <c r="N16" i="36"/>
  <c r="M16" i="36"/>
  <c r="Q9" i="36"/>
  <c r="R9" i="36"/>
  <c r="R20" i="36" l="1"/>
  <c r="R19" i="36"/>
  <c r="R25" i="36" s="1"/>
  <c r="B11" i="1"/>
  <c r="Q18" i="37"/>
  <c r="N20" i="37" s="1"/>
  <c r="Q17" i="37"/>
  <c r="Q11" i="37"/>
  <c r="N14" i="37" s="1"/>
  <c r="Q6" i="37"/>
  <c r="Q12" i="37" s="1"/>
  <c r="Q5" i="37"/>
  <c r="N8" i="37" s="1"/>
  <c r="R24" i="36" l="1"/>
  <c r="R21" i="36"/>
  <c r="R23" i="36"/>
  <c r="O12" i="2"/>
  <c r="O11" i="2"/>
  <c r="A7" i="53"/>
  <c r="R27" i="36" l="1"/>
  <c r="P34" i="1"/>
  <c r="O34" i="1"/>
  <c r="N34" i="1"/>
  <c r="M34" i="1"/>
  <c r="R32" i="1"/>
  <c r="Q32" i="1"/>
  <c r="P31" i="1"/>
  <c r="O31" i="1"/>
  <c r="N31" i="1"/>
  <c r="M31" i="1"/>
  <c r="R30" i="1"/>
  <c r="Q30" i="1"/>
  <c r="P30" i="1"/>
  <c r="O30" i="1"/>
  <c r="N30" i="1"/>
  <c r="M30" i="1"/>
  <c r="R29" i="1"/>
  <c r="Q29" i="1"/>
  <c r="P29" i="1"/>
  <c r="O29" i="1"/>
  <c r="N29" i="1"/>
  <c r="M29" i="1"/>
  <c r="R28" i="1"/>
  <c r="Q28" i="1"/>
  <c r="P28" i="1"/>
  <c r="O28" i="1"/>
  <c r="N28" i="1"/>
  <c r="M28" i="1"/>
  <c r="N27" i="1"/>
  <c r="N26" i="1"/>
  <c r="M26" i="1"/>
  <c r="P21" i="1"/>
  <c r="O21" i="1"/>
  <c r="N21" i="1"/>
  <c r="M21" i="1"/>
  <c r="M20" i="1"/>
  <c r="N16" i="1"/>
  <c r="M16" i="1"/>
  <c r="O15" i="1"/>
  <c r="N15" i="1"/>
  <c r="M15" i="1"/>
  <c r="M14" i="1"/>
  <c r="M13" i="1"/>
  <c r="O12" i="1"/>
  <c r="N12" i="1"/>
  <c r="M12" i="1"/>
  <c r="O11" i="1"/>
  <c r="N11" i="1"/>
  <c r="M11" i="1"/>
  <c r="Q10" i="1"/>
  <c r="P10" i="1"/>
  <c r="O10" i="1"/>
  <c r="N10" i="1"/>
  <c r="M10" i="1"/>
  <c r="A23" i="28"/>
  <c r="A19" i="28"/>
  <c r="A11" i="28"/>
  <c r="A7" i="28"/>
  <c r="A21" i="29"/>
  <c r="A16" i="29"/>
  <c r="A12" i="29"/>
  <c r="A8" i="29"/>
  <c r="A11" i="30"/>
  <c r="A7" i="30"/>
  <c r="A32" i="23"/>
  <c r="A43" i="36"/>
  <c r="A35" i="37"/>
  <c r="A31" i="37"/>
  <c r="A27" i="37"/>
  <c r="A23" i="37"/>
  <c r="A11" i="38"/>
  <c r="A7" i="38"/>
  <c r="A15" i="49"/>
  <c r="A11" i="49"/>
  <c r="A7" i="49"/>
  <c r="A7" i="50"/>
  <c r="A7" i="51"/>
  <c r="O8" i="1"/>
  <c r="N8" i="1"/>
  <c r="M8" i="1"/>
  <c r="A15" i="53"/>
  <c r="A11" i="53"/>
  <c r="A24" i="2"/>
  <c r="A20" i="2"/>
  <c r="A16" i="2"/>
  <c r="R28" i="36" l="1"/>
  <c r="R31" i="36" s="1"/>
  <c r="R34" i="36" s="1"/>
  <c r="R32" i="36"/>
  <c r="R33" i="36" s="1"/>
  <c r="B34" i="1"/>
  <c r="A4" i="25" s="1"/>
  <c r="B33" i="1"/>
  <c r="A4" i="26" s="1"/>
  <c r="B32" i="1"/>
  <c r="A4" i="27" s="1"/>
  <c r="B31" i="1"/>
  <c r="A4" i="28" s="1"/>
  <c r="B30" i="1"/>
  <c r="A4" i="29" s="1"/>
  <c r="B29" i="1"/>
  <c r="A4" i="30" s="1"/>
  <c r="B28" i="1"/>
  <c r="A4" i="23" s="1"/>
  <c r="B27" i="1"/>
  <c r="B26" i="1"/>
  <c r="A4" i="21" s="1"/>
  <c r="B25" i="1"/>
  <c r="B24" i="1"/>
  <c r="A4" i="54" s="1"/>
  <c r="B23" i="1"/>
  <c r="B22" i="1"/>
  <c r="A4" i="63" s="1"/>
  <c r="B21" i="1"/>
  <c r="B20" i="1"/>
  <c r="A4" i="61" s="1"/>
  <c r="B19" i="1"/>
  <c r="B18" i="1"/>
  <c r="B17" i="1"/>
  <c r="B16" i="1"/>
  <c r="B15" i="1"/>
  <c r="A4" i="49" s="1"/>
  <c r="B14" i="1"/>
  <c r="A4" i="50" s="1"/>
  <c r="B13" i="1"/>
  <c r="A4" i="51" s="1"/>
  <c r="B12" i="1"/>
  <c r="A4" i="52" s="1"/>
  <c r="A4" i="53"/>
  <c r="R29" i="36" l="1"/>
  <c r="R35" i="36"/>
  <c r="A4" i="36"/>
  <c r="A4" i="37"/>
  <c r="A4" i="62"/>
  <c r="A4" i="38"/>
  <c r="L26" i="1"/>
  <c r="L34" i="1"/>
  <c r="L33" i="1"/>
  <c r="L32" i="1"/>
  <c r="L31" i="1"/>
  <c r="L30" i="1"/>
  <c r="L29" i="1"/>
  <c r="L28" i="1"/>
  <c r="L27" i="1"/>
  <c r="J27" i="1"/>
  <c r="J33" i="1"/>
  <c r="J24" i="1"/>
  <c r="J17" i="1"/>
  <c r="J16" i="1"/>
  <c r="J11" i="1"/>
  <c r="J22" i="1"/>
  <c r="J14" i="1"/>
  <c r="J32" i="1"/>
  <c r="J34" i="1"/>
  <c r="J18" i="1"/>
  <c r="J31" i="1"/>
  <c r="J20" i="1"/>
  <c r="J26" i="1"/>
  <c r="J15" i="1"/>
  <c r="J9" i="1"/>
  <c r="J30" i="1"/>
  <c r="J28" i="1"/>
  <c r="J12" i="1"/>
  <c r="J19" i="1"/>
  <c r="J10" i="1"/>
  <c r="J23" i="1"/>
  <c r="J13" i="1"/>
  <c r="J21" i="1"/>
  <c r="J29" i="1"/>
  <c r="J25" i="1"/>
  <c r="M2" i="1" l="1" a="1"/>
  <c r="M2" i="1" s="1"/>
  <c r="L9" i="1" l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8" i="1"/>
  <c r="B9" i="1"/>
  <c r="B10" i="1"/>
  <c r="A4" i="5" s="1"/>
  <c r="B8" i="1"/>
  <c r="J8" i="1"/>
  <c r="A4" i="4" l="1"/>
  <c r="M3" i="1"/>
  <c r="P2" i="1" s="1"/>
  <c r="A4" i="2"/>
</calcChain>
</file>

<file path=xl/sharedStrings.xml><?xml version="1.0" encoding="utf-8"?>
<sst xmlns="http://schemas.openxmlformats.org/spreadsheetml/2006/main" count="1678" uniqueCount="985">
  <si>
    <t>Question</t>
  </si>
  <si>
    <t>Sub-Part of Question</t>
  </si>
  <si>
    <t>(a)</t>
  </si>
  <si>
    <t>(b)</t>
  </si>
  <si>
    <t>(c)</t>
  </si>
  <si>
    <t>(d)</t>
  </si>
  <si>
    <t>(e)</t>
  </si>
  <si>
    <t>(f)</t>
  </si>
  <si>
    <t>(g)</t>
  </si>
  <si>
    <t>Total Point Value</t>
  </si>
  <si>
    <t>Status</t>
  </si>
  <si>
    <t>Your Score</t>
  </si>
  <si>
    <t>Incomplete</t>
  </si>
  <si>
    <t>Points</t>
  </si>
  <si>
    <t>Percentage:</t>
  </si>
  <si>
    <t>Instructions</t>
  </si>
  <si>
    <t>1.) Find a quiet place and allow yourself the full four hour exam period to practice. Treat this just as you would the real exam.</t>
  </si>
  <si>
    <r>
      <t xml:space="preserve">2.) Use the question hyperlinks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navigate between questions in your preferred order.</t>
    </r>
  </si>
  <si>
    <t>3.) Answer each question either to the side or below the grey question area.</t>
  </si>
  <si>
    <r>
      <t xml:space="preserve">4.) Use cell </t>
    </r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on each question worksheet to mark whether you finished the question or not. You should use this feature to</t>
    </r>
  </si>
  <si>
    <t xml:space="preserve">       reflect your confidence in your answer. This way you'll know if you're on the money or your guesses were lucky.</t>
  </si>
  <si>
    <t>5.) Grade each question harshly. It's better to put in extra reviewing time now than find the examiners aren't as generous as you hoped.</t>
  </si>
  <si>
    <r>
      <t xml:space="preserve">7.) Return to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to see your score and a breakdown of where you scored well and where you didn't.</t>
    </r>
  </si>
  <si>
    <t>8.) Find the top five questions where you lost the most points. These are the topics you need to review the most intensely in the</t>
  </si>
  <si>
    <t xml:space="preserve">      next day or so.</t>
  </si>
  <si>
    <t>6.) Enter your estimated score for each sub-part of a question in the box beneath the sub-part point value. They look like:</t>
  </si>
  <si>
    <r>
      <t xml:space="preserve">       Use increments of </t>
    </r>
    <r>
      <rPr>
        <b/>
        <sz val="11"/>
        <color theme="1"/>
        <rFont val="Calibri"/>
        <family val="2"/>
        <scheme val="minor"/>
      </rPr>
      <t>0.25</t>
    </r>
    <r>
      <rPr>
        <sz val="11"/>
        <color theme="1"/>
        <rFont val="Calibri"/>
        <family val="2"/>
        <scheme val="minor"/>
      </rPr>
      <t xml:space="preserve"> when scoring; pay attention to the language used in the question and the point value. An "</t>
    </r>
    <r>
      <rPr>
        <i/>
        <sz val="11"/>
        <color theme="1"/>
        <rFont val="Calibri"/>
        <family val="2"/>
        <scheme val="minor"/>
      </rPr>
      <t>identify" question</t>
    </r>
  </si>
  <si>
    <r>
      <t xml:space="preserve">       is likely 0.25 per item while an "</t>
    </r>
    <r>
      <rPr>
        <i/>
        <sz val="11"/>
        <color theme="1"/>
        <rFont val="Calibri"/>
        <family val="2"/>
        <scheme val="minor"/>
      </rPr>
      <t>explain</t>
    </r>
    <r>
      <rPr>
        <sz val="11"/>
        <color theme="1"/>
        <rFont val="Calibri"/>
        <family val="2"/>
        <scheme val="minor"/>
      </rPr>
      <t>" or "</t>
    </r>
    <r>
      <rPr>
        <i/>
        <sz val="11"/>
        <color theme="1"/>
        <rFont val="Calibri"/>
        <family val="2"/>
        <scheme val="minor"/>
      </rPr>
      <t>briefly justify</t>
    </r>
    <r>
      <rPr>
        <sz val="11"/>
        <color theme="1"/>
        <rFont val="Calibri"/>
        <family val="2"/>
        <scheme val="minor"/>
      </rPr>
      <t>" gets 0.25 for the item and another 0.25 for the justification.</t>
    </r>
  </si>
  <si>
    <t>slay the beast</t>
  </si>
  <si>
    <r>
      <t xml:space="preserve">9.) Use the </t>
    </r>
    <r>
      <rPr>
        <u/>
        <sz val="11"/>
        <color theme="1"/>
        <rFont val="Calibri"/>
        <family val="2"/>
        <scheme val="minor"/>
      </rPr>
      <t>Reset Exam</t>
    </r>
    <r>
      <rPr>
        <sz val="11"/>
        <color theme="1"/>
        <rFont val="Calibri"/>
        <family val="2"/>
        <scheme val="minor"/>
      </rPr>
      <t xml:space="preserve"> button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clear all of your work ready for a new attempt at this exam later.</t>
    </r>
  </si>
  <si>
    <t>Return to Point Grid</t>
  </si>
  <si>
    <t>Pts Achieved</t>
  </si>
  <si>
    <t>Pts Available</t>
  </si>
  <si>
    <t>Briefly explain 4 reasons for government insurance.</t>
  </si>
  <si>
    <t>0.25 per item</t>
  </si>
  <si>
    <t>Any of the following:</t>
  </si>
  <si>
    <t>Filling needs unmet by private insurance</t>
  </si>
  <si>
    <t>When insurance is compulsory</t>
  </si>
  <si>
    <t>Convenient structure: Government may already have structure in place</t>
  </si>
  <si>
    <t>Efficiency: Agent premiums are eliminated which results in lower commissions and lower premiums.</t>
  </si>
  <si>
    <t>Social purposes: Private market is motivated by profit. Government is not.</t>
  </si>
  <si>
    <t>Briefly describe the 4 reforms below and briefly explain how they are plaintiff-friendly.</t>
  </si>
  <si>
    <t>Joint &amp; Several Liability</t>
  </si>
  <si>
    <t>Compensation on Gross Basis</t>
  </si>
  <si>
    <t>Collateral Source Rule</t>
  </si>
  <si>
    <t>Compensation on a Gross Basis: The base value for income replacement is on a gross basis.</t>
  </si>
  <si>
    <t>It is plaintiff-friendly as it allows for a larger compensation for the plaintiff.</t>
  </si>
  <si>
    <t>Collateral Source Rule: Evidence of plaintiff's collateral source of compensation does not need to be entered at trial.</t>
  </si>
  <si>
    <t>List an example of a jurisdiction for each of the 5 approaches listed in (a).</t>
  </si>
  <si>
    <t>Government mandated: Government sets rates and determines rate changes</t>
  </si>
  <si>
    <t>Prior approval: Regulators must approve the rates before they are used</t>
  </si>
  <si>
    <t>File and use: Insurers must file rates before use. Regulators have a certain period to approve it.</t>
  </si>
  <si>
    <t>Use and file: Rates must be filed within a certain period after they are put in production.</t>
  </si>
  <si>
    <t>Open competition: No approval for rates or rate changes.</t>
  </si>
  <si>
    <t>Open competition: Nunavut, Yukon, Northwest Territories</t>
  </si>
  <si>
    <t>File and use: Prince Edward Island</t>
  </si>
  <si>
    <t>Use and file: Quebec</t>
  </si>
  <si>
    <t>Government mandated: Alberta Grid, British Columbia</t>
  </si>
  <si>
    <t>Prior approval: Ontario for major filings, Nova Scotia</t>
  </si>
  <si>
    <t>Briefly describe 5 approaches to rate regulation used in Canada.</t>
  </si>
  <si>
    <t>0.25 for the brief description and 0.25 for the plaintiff-friendly explanation</t>
  </si>
  <si>
    <t>0.25 each</t>
  </si>
  <si>
    <t>(c )</t>
  </si>
  <si>
    <t>Amongst the 3 moderate rate regulation approaches, rank them from fastest to slowest.</t>
  </si>
  <si>
    <t>Flex rating &lt; Use and file &lt; File and use</t>
  </si>
  <si>
    <t>With good understanding of the rate regulation approaches, many answers could be argued and accepted.</t>
  </si>
  <si>
    <t xml:space="preserve">A Transportation Network Company (TNC) driver in Alberta was in an accident. </t>
  </si>
  <si>
    <t>The TNC is insured under a Standard Policy Form (SPF9) with the following features:</t>
  </si>
  <si>
    <t>Under each of the following situations, justify if there is coverage under SPF9 and identify the amount the SPF9</t>
  </si>
  <si>
    <t>insurer would pay.</t>
  </si>
  <si>
    <t>The driver is logged onto the TNC network and has picked up a passenger.</t>
  </si>
  <si>
    <t xml:space="preserve">The driver is not logged onto the TNC network and is driving to the gym. </t>
  </si>
  <si>
    <t>Period 0 of TNC framework</t>
  </si>
  <si>
    <t>Coverage, Period 3</t>
  </si>
  <si>
    <t>request through the app.</t>
  </si>
  <si>
    <t>Street-hailed passengers are excluded from coverage under SPF9</t>
  </si>
  <si>
    <t>No coverage, 0$</t>
  </si>
  <si>
    <t>No coverage,0$</t>
  </si>
  <si>
    <t>TPL:</t>
  </si>
  <si>
    <t>PD:</t>
  </si>
  <si>
    <t>of TPL</t>
  </si>
  <si>
    <t>of physical damage</t>
  </si>
  <si>
    <t xml:space="preserve">The driver incurred a claim of: </t>
  </si>
  <si>
    <t>The SPF9 insurer will be the only insurer to cover TPL, COLL and AB and will cover the amounts for</t>
  </si>
  <si>
    <t>Any 3 of the following:</t>
  </si>
  <si>
    <t xml:space="preserve">EI serves a social purpose and assists workers financially while they search for work. </t>
  </si>
  <si>
    <t>EI could be catastrophic during an economic downturn, an insurer's solvency would be a high risk in that situation.</t>
  </si>
  <si>
    <t>Government has necessary structure in place to offer EI and offers other types of social assistance already.</t>
  </si>
  <si>
    <t>Briefly describe 2 objectives of employment insurance in Canada.</t>
  </si>
  <si>
    <t>Provide 3 reasons for government's involvement in employment insurance in Canada.</t>
  </si>
  <si>
    <t>Other reasonable answers may be accepted if sufficiently justified.</t>
  </si>
  <si>
    <t>Briefly explain 5 principles of risk management for flood risk.</t>
  </si>
  <si>
    <t>Any 2 of the following:</t>
  </si>
  <si>
    <t>Any 5 of the following:</t>
  </si>
  <si>
    <t>Briefly explain 2 reasons why certain international flood programs have failed.</t>
  </si>
  <si>
    <t>To shield the taxpayer: to reduce taxpayer-funded subsidies by encouraging private insurance market</t>
  </si>
  <si>
    <t>Increase efficiency - flood programs should be risk-based to incentivize risk mitigation</t>
  </si>
  <si>
    <t>Ensure affordability by encouraging maximum participation by high-risk insureds</t>
  </si>
  <si>
    <t>Ensure program was financially sustainable: reduce systemic losses to support sustainability</t>
  </si>
  <si>
    <t>Ensure optimal compensation: insurance should be predictable &amp; sufficient to reduce publicly funded disaster assistance</t>
  </si>
  <si>
    <t>Promote inclusivity: all primary-residence property owners should be covered for any type of flood risk</t>
  </si>
  <si>
    <t>Flood insurance is not mandatory and participation rate is low.</t>
  </si>
  <si>
    <t>Government does not play an active role to ensure maintenance of flood maps, infrastructure, zoning laws, etc.</t>
  </si>
  <si>
    <t>Other reasonable answers may also be accepted.</t>
  </si>
  <si>
    <t>Subsidies: Policyholder</t>
  </si>
  <si>
    <t>Pricing: Risk-based pricing</t>
  </si>
  <si>
    <t>Package: Bundled</t>
  </si>
  <si>
    <t>Purchase: Voluntary</t>
  </si>
  <si>
    <t>Government role: Enabler</t>
  </si>
  <si>
    <t>Model: Private</t>
  </si>
  <si>
    <t>Compare and contrast the UK and US flood programs based on 4 categories of approaches.</t>
  </si>
  <si>
    <t>UK Flood Program:</t>
  </si>
  <si>
    <t>Model: Public</t>
  </si>
  <si>
    <t>Package: Optional Add-on</t>
  </si>
  <si>
    <t>Subsidies: Taxpayer</t>
  </si>
  <si>
    <t>Government role: Insurer &amp; Enabler</t>
  </si>
  <si>
    <t>US Flood Program:</t>
  </si>
  <si>
    <t>The Property and Casualty Insurance Compensation Corporation (PACICC) was established to protect policyholders and</t>
  </si>
  <si>
    <t>claimants in the event of an insurer insolvency.</t>
  </si>
  <si>
    <t>Given the following information:</t>
  </si>
  <si>
    <t xml:space="preserve">Total amount advanced by PACICC in Ontario: </t>
  </si>
  <si>
    <t xml:space="preserve">Total amount recovered by PACICC from insolvent insurer and third parties in Ontario: </t>
  </si>
  <si>
    <t>Total PACICC assessment in Alberta:</t>
  </si>
  <si>
    <t>E and F are the only insurers with direct written premium in Ontario</t>
  </si>
  <si>
    <t>G and H are the only insurers with direct written premium in Alberta</t>
  </si>
  <si>
    <t>Insurer</t>
  </si>
  <si>
    <t>Jurisdiction</t>
  </si>
  <si>
    <t>E</t>
  </si>
  <si>
    <t>F</t>
  </si>
  <si>
    <t>G</t>
  </si>
  <si>
    <t>H</t>
  </si>
  <si>
    <t>ON</t>
  </si>
  <si>
    <t>AB</t>
  </si>
  <si>
    <t>Determine the amount of the PACICC assessment for insurer E.</t>
  </si>
  <si>
    <t>Determine the amount of the PACICC assessment for insurer G.</t>
  </si>
  <si>
    <t>Total Assessment:</t>
  </si>
  <si>
    <t>Determine the amount of the PACICC assessment for insurer E if G and H were also insurers in Ontario</t>
  </si>
  <si>
    <t>Limit:</t>
  </si>
  <si>
    <t>Liquidation of the insolvent insurer's assets</t>
  </si>
  <si>
    <t>Assessment of participating insurers</t>
  </si>
  <si>
    <t>Compensation fund (pre-insolvency funding)</t>
  </si>
  <si>
    <t>Third party recovery</t>
  </si>
  <si>
    <t>The following information is available for a property and casualty insurance company as at December 31, 2021:</t>
  </si>
  <si>
    <t>Estimated undiscounted value of the liabilities to be commuted:</t>
  </si>
  <si>
    <t>Risk free rate:</t>
  </si>
  <si>
    <t xml:space="preserve">Required margin: </t>
  </si>
  <si>
    <t>Target capital to required capital ratio;</t>
  </si>
  <si>
    <t>Risk cost of capital:</t>
  </si>
  <si>
    <t>Compute the commuted value of claims as at December 31, 2021.</t>
  </si>
  <si>
    <t>CY</t>
  </si>
  <si>
    <t>Payments are assumed to be made mid-year.</t>
  </si>
  <si>
    <t>Cumulative Payment %</t>
  </si>
  <si>
    <t>Define a commutation agreement.</t>
  </si>
  <si>
    <t>List an advantage of a commutation agreement from a reinsurer's perspective.</t>
  </si>
  <si>
    <t>List an advantage and a disadvantage of a commutation agreement from an insurer's perspective.</t>
  </si>
  <si>
    <t>between the parties under a particular reinsurance contract.</t>
  </si>
  <si>
    <t xml:space="preserve">An agreement between a ceding insurer and a reinsurer that  will provide for the valuation, payment and complete discharge of all obligations </t>
  </si>
  <si>
    <t>One of each:</t>
  </si>
  <si>
    <t>Advantages:</t>
  </si>
  <si>
    <t>Disadvantages:</t>
  </si>
  <si>
    <t>Increases stability for long tail lines</t>
  </si>
  <si>
    <t>Decreases claim expenses as they are ceded to the reinsurer</t>
  </si>
  <si>
    <t>Decreases underwriting leverage</t>
  </si>
  <si>
    <t xml:space="preserve">Gives possibility to exit the market </t>
  </si>
  <si>
    <t>Risk of adverse development on claims</t>
  </si>
  <si>
    <t>capital required increases to support claim liabilities</t>
  </si>
  <si>
    <t>One of the following:</t>
  </si>
  <si>
    <t>Removes credit risk concern for reinsurer</t>
  </si>
  <si>
    <t>Decreases expense costs</t>
  </si>
  <si>
    <t>More efficient claims handling</t>
  </si>
  <si>
    <t>Primary can receive an immediate positive cash flow from agreement</t>
  </si>
  <si>
    <t>Payment</t>
  </si>
  <si>
    <t>Time</t>
  </si>
  <si>
    <t>Payment Remaining</t>
  </si>
  <si>
    <t>Required margin</t>
  </si>
  <si>
    <t>Target Capital</t>
  </si>
  <si>
    <t>Cost of capital</t>
  </si>
  <si>
    <t>Discount factor</t>
  </si>
  <si>
    <t>Discounted cost of capital:</t>
  </si>
  <si>
    <t>Discounted value of payments:</t>
  </si>
  <si>
    <t>Commuted Value:</t>
  </si>
  <si>
    <t>A company purchases a muti-peril insurance policy. Following a fire accident, the company files a claim with the</t>
  </si>
  <si>
    <t>The insurance company denied coverage for the claim and the company sued in consequence.</t>
  </si>
  <si>
    <t>An insured sustains significant injuries following a vehicle accident leading to complications that significantly</t>
  </si>
  <si>
    <t>An insured is injured in a vehicle collision while returning home. The insured is admitted to the hospital for treatment</t>
  </si>
  <si>
    <t xml:space="preserve">of his injuries and recovers successfully physically after a few treatments. However, the accident has left him with </t>
  </si>
  <si>
    <t>anxiety. The insured claims for non-pecuniary damages for the harm sustained in the incident but is denied coverage</t>
  </si>
  <si>
    <t>Discuss the implications from the ruling used to support the previous case in Part c).</t>
  </si>
  <si>
    <t xml:space="preserve">The Supreme Court ruled that Saadati is entitled to coverage even if he did not exhibit a known psychiatric or psychological condition as long as </t>
  </si>
  <si>
    <t>duty of care</t>
  </si>
  <si>
    <t>breach of duty of care</t>
  </si>
  <si>
    <t>legal causal relationship</t>
  </si>
  <si>
    <t>factual causal relationship</t>
  </si>
  <si>
    <t>mental injury is serious and prolonged and rises above daily anxieties and fears</t>
  </si>
  <si>
    <t xml:space="preserve">If the insured's new anxiety symptoms would satisfy the following 5 criteria, according to Saadati v Moorhead, the insured would be entitled to </t>
  </si>
  <si>
    <t>coverage by his insurer and the ruling would be in favor for the insured.</t>
  </si>
  <si>
    <t>Precedent: Saadati v Moorhead</t>
  </si>
  <si>
    <t>This case sets a precedent for future cases dealing with compensation for mental health injuries.</t>
  </si>
  <si>
    <t>The Law of negligence must afford equal protections for both physical and mental injuries.</t>
  </si>
  <si>
    <t>Mental health injuries can go above 'textbook' descriptions of psychiatric and psychological conditions.</t>
  </si>
  <si>
    <t>Precedent: Aviva v Pastore</t>
  </si>
  <si>
    <t>daily activities function</t>
  </si>
  <si>
    <t>social function</t>
  </si>
  <si>
    <t>concentration</t>
  </si>
  <si>
    <t>decompensation for work</t>
  </si>
  <si>
    <t>The Ontario Court of Appeal ruled that as long as the plaintiff exhibited one of the following criteria, then would qualify for Class 4 catastrophic impairment.</t>
  </si>
  <si>
    <t>catastrophic impairment but is denied by her insurance company. The insured sues her insurance company.</t>
  </si>
  <si>
    <t>Precedent: KP Pacific v Guardian</t>
  </si>
  <si>
    <t>Under Part II of the Act, claims are limited to 1 year since the date of the proof of loss.</t>
  </si>
  <si>
    <t>Under Part V of the Act, claims are limited to 1 year since the date of the incident.</t>
  </si>
  <si>
    <t xml:space="preserve">insurance company 13 months after the incident. However, the proof of loss was filed 2 months after the fire incident. </t>
  </si>
  <si>
    <t>Based on this precedent, the ruling would be in favor the company as 13 months is within 1 year from the proof of loss.</t>
  </si>
  <si>
    <t>Briefly describe four qualifications of the Appointed Actuary as defined by OSFI.</t>
  </si>
  <si>
    <t>To the Board of Directors:</t>
  </si>
  <si>
    <t>To the Audit Committee:</t>
  </si>
  <si>
    <t>AA must report on the company's current financial condition and the company's expected future financial condition with the FCT to the BoD</t>
  </si>
  <si>
    <t>Briefly describe the functions of the Board of Directors.</t>
  </si>
  <si>
    <t>This experience must include at least 1 year of valuation work.</t>
  </si>
  <si>
    <t>Satisfy the requirements for continuous professional development</t>
  </si>
  <si>
    <t>Work the 3 years of the past 6 in the Canadian P&amp;C market</t>
  </si>
  <si>
    <t>No adverse findings from the CIA disciplinary tribunal</t>
  </si>
  <si>
    <t>Compliance with the CIA's Standards of Practice (SOP)</t>
  </si>
  <si>
    <t>Briefly describe four roles or duties of the Appointed Actuary.</t>
  </si>
  <si>
    <t>Any 4 of the following:</t>
  </si>
  <si>
    <t>Must perform a valuation of policy liabilities at year-end following accepted actuarial practice</t>
  </si>
  <si>
    <t>Submit AA report which must be completed 21 days before the Annual General Meeting and provide a statement if the Annual Report fairly represents the result of the valuation</t>
  </si>
  <si>
    <t>Complete the Financial Position Report</t>
  </si>
  <si>
    <t>Complete the Financial Condition Report</t>
  </si>
  <si>
    <t>Complete the Material Adverse Events Report</t>
  </si>
  <si>
    <t>Complete the Final Opinion/Memo discussing details of the financial statements such as actuarial judgment used, calculations, etc.</t>
  </si>
  <si>
    <t>precedents used to support the conclusion drawn.</t>
  </si>
  <si>
    <t>In each of the following scenarios, explain a likely outcome for the insurance company and cite any relevant</t>
  </si>
  <si>
    <t xml:space="preserve">The driver is logged onto the TNC network and picks up a client who waved at him from the streets without making a </t>
  </si>
  <si>
    <t>It is plaintiff-friendly as the plaintiff could have other sources of compensation such as disability income - it allows for a larger compensation for the plaintiff.</t>
  </si>
  <si>
    <t>Flood insurance is not bundled with home insurance and the cost is not spread among all risks.</t>
  </si>
  <si>
    <t>Direct Written Premium ($MM)</t>
  </si>
  <si>
    <t>Subject to strong adverse selection. Only individuals at risk of losing employment would get coverage and premiums would become unaffordable and program would no longer be viable.</t>
  </si>
  <si>
    <t xml:space="preserve">Provides individuals with temporary income replacement </t>
  </si>
  <si>
    <t>Promotes active re-employment assistance to help unemployed workers find and create jobs</t>
  </si>
  <si>
    <t>impede on her quality of life and prevents her from performing her daily activities. The insured files for Class 4</t>
  </si>
  <si>
    <t>Fire in multi-peril policies are subject to Part II of the Act, not Part V.</t>
  </si>
  <si>
    <t>In Aviva v Pastore, Aviva denied coverage as it considered that for a Class 4 catastrophic impairment, all of the following 4 criteria must have been impaired:</t>
  </si>
  <si>
    <t>Based on this precedent, the ruling would be in favor for the insured as the incident prevents her from performing her daily activities.</t>
  </si>
  <si>
    <t>it satisfied the following conditions:</t>
  </si>
  <si>
    <t>Establishing procedures to resolve conflicts of interest</t>
  </si>
  <si>
    <t>AA must report on material adverse events that require attention</t>
  </si>
  <si>
    <t xml:space="preserve">The following information is available for an insurance company's P&amp;C-1. </t>
  </si>
  <si>
    <t>All amounts are in thousands of dollars ($000s).</t>
  </si>
  <si>
    <t>Payment Pattern</t>
  </si>
  <si>
    <t>Year</t>
  </si>
  <si>
    <t>Undiscounted Unpaid</t>
  </si>
  <si>
    <t>Accident Year</t>
  </si>
  <si>
    <t>n/a</t>
  </si>
  <si>
    <t>The company purchases quota share reinsurance.</t>
  </si>
  <si>
    <t>% ceded to reinsurer</t>
  </si>
  <si>
    <t>Claims development margin for adverse deviation (MfAD)</t>
  </si>
  <si>
    <t>Reinsurance recovery MfAD</t>
  </si>
  <si>
    <t>Investment return MfAD</t>
  </si>
  <si>
    <t>Discount rate</t>
  </si>
  <si>
    <t>Page 20.10 Asset</t>
  </si>
  <si>
    <t>Recoverable from reinsurers</t>
  </si>
  <si>
    <t>Unearned Premiums</t>
  </si>
  <si>
    <t>Unpaid Claims and Adjustment Expenses</t>
  </si>
  <si>
    <t>Total Investments incl. cash</t>
  </si>
  <si>
    <t>A</t>
  </si>
  <si>
    <t>Page 20.20 Liabilities and Equity</t>
  </si>
  <si>
    <t>B</t>
  </si>
  <si>
    <t>Page 20.30 Statement of Income</t>
  </si>
  <si>
    <t>Net Premium Written</t>
  </si>
  <si>
    <t>Net Premium Earned</t>
  </si>
  <si>
    <t>Gross Claims and Adjustment Expenses</t>
  </si>
  <si>
    <t>Reinsurers' share of claims and adjustment expenses</t>
  </si>
  <si>
    <t>Net Claims and Adjustment Expenses</t>
  </si>
  <si>
    <t>Net Investment Income</t>
  </si>
  <si>
    <t>C</t>
  </si>
  <si>
    <t>D</t>
  </si>
  <si>
    <t>Calculate A, B, C, D , E</t>
  </si>
  <si>
    <t>Payment pattern:</t>
  </si>
  <si>
    <t>AY</t>
  </si>
  <si>
    <t>t = 0.5</t>
  </si>
  <si>
    <t>t = 1.5</t>
  </si>
  <si>
    <t>Total</t>
  </si>
  <si>
    <t>or</t>
  </si>
  <si>
    <t>Discount rate with investment return MfAD:</t>
  </si>
  <si>
    <t>Present Value Factors</t>
  </si>
  <si>
    <t>t</t>
  </si>
  <si>
    <t>discount rate</t>
  </si>
  <si>
    <t>Gross discounted liab. At</t>
  </si>
  <si>
    <t>Gross discounted liab. at</t>
  </si>
  <si>
    <t>:</t>
  </si>
  <si>
    <t xml:space="preserve">Net discounted liab. At </t>
  </si>
  <si>
    <t>Claims PfAD</t>
  </si>
  <si>
    <t>Interest rate PfAD</t>
  </si>
  <si>
    <t>Reinsurance PfAD</t>
  </si>
  <si>
    <t>Gross AAP Liab.</t>
  </si>
  <si>
    <t>Ceded AAP Liab.</t>
  </si>
  <si>
    <t>Net AAP Liab.</t>
  </si>
  <si>
    <t>Gross - Ceded</t>
  </si>
  <si>
    <t>Cumulative Paid Losses</t>
  </si>
  <si>
    <t>UCAE 2020 - UCAE 2019 + Gross Paid 2019</t>
  </si>
  <si>
    <t>Recoverable UCAE 2020 - Recoverable UCAE 2019 + Ceded Paid 2019</t>
  </si>
  <si>
    <t>Third Party Liability limit</t>
  </si>
  <si>
    <t>by his insurance company as  the assigned psychiatrist did not identify any medically known condition.</t>
  </si>
  <si>
    <t>Establishing committees: audit committee, conduct review committee, committee to monitor conflict resolution procedures</t>
  </si>
  <si>
    <t>a)</t>
  </si>
  <si>
    <t>Issue 1: Subject matter related to regulation of trade and commerce is a federal jurisdiction</t>
  </si>
  <si>
    <r>
      <t xml:space="preserve">In the case of </t>
    </r>
    <r>
      <rPr>
        <i/>
        <sz val="11"/>
        <color theme="1"/>
        <rFont val="Calibri"/>
        <family val="2"/>
        <scheme val="minor"/>
      </rPr>
      <t>Citizen Insurance Co. v. Parsons</t>
    </r>
    <r>
      <rPr>
        <sz val="11"/>
        <color theme="1"/>
        <rFont val="Calibri"/>
        <family val="2"/>
        <scheme val="minor"/>
      </rPr>
      <t xml:space="preserve">, an insurance company challenged the validity of </t>
    </r>
  </si>
  <si>
    <t>Issue 2: Province cannot legislate so as to deprive a federal incorporated company of its status and capacity</t>
  </si>
  <si>
    <t>The Fire Insurance Policy Act</t>
  </si>
  <si>
    <t>b)</t>
  </si>
  <si>
    <t>Privy Council interpreted 'Trade and Commerce' as inter-provincial trade and commerce rather than regulation of a particular business carried in a single province</t>
  </si>
  <si>
    <t>Identify two reasons why the insurance company argued that the Fire Insurance Policy Act was ultra vires</t>
  </si>
  <si>
    <t>c)</t>
  </si>
  <si>
    <t>Privy Concil found the Act to be intra vires (Citizen had to comply with the Fire Act)</t>
  </si>
  <si>
    <t>Briefly describe how the Privy Concil interpreted 'trade and commerce' when ruling on this case</t>
  </si>
  <si>
    <t>Briefly describe the Privy Council's ruling on this case</t>
  </si>
  <si>
    <t>Answer</t>
  </si>
  <si>
    <t xml:space="preserve">Explain whether the following situations are permitted according to Ontario regulations. </t>
  </si>
  <si>
    <t>Yes it is allowed. There is no barrier to offer a discount or a refund and the reduced mileage driven and lower frequency can justify the refund.</t>
  </si>
  <si>
    <t>An insurance company wants to target customers who have both personal auto and property policies</t>
  </si>
  <si>
    <t xml:space="preserve">by offering a 5% duo-line discount on the auto policy. The historical experience of these customers </t>
  </si>
  <si>
    <t>is reviewed and they are found to indeed have better auto loss experience.</t>
  </si>
  <si>
    <t>d)</t>
  </si>
  <si>
    <t>After observing less driving activities and recording significantly lower claim frequency, the insurance</t>
  </si>
  <si>
    <t>company decides to issue its personal auto customers a refund during the certain months that</t>
  </si>
  <si>
    <t>e)</t>
  </si>
  <si>
    <t>It is allowed if the change is due to the change of rating territory.</t>
  </si>
  <si>
    <t>Ontario is in a Covid-19 related provincial lockdown.</t>
  </si>
  <si>
    <t>An insured recently signed up for a car-sharing service. The insurer found out and wants to increase</t>
  </si>
  <si>
    <t>the policy premium.</t>
  </si>
  <si>
    <t>An insurerd moved from their downtown residence to the suburbs and their personal auto premium</t>
  </si>
  <si>
    <t>increased.</t>
  </si>
  <si>
    <t>An insurance company is considering the use of credit information for personal auto pricing.</t>
  </si>
  <si>
    <t>Two arguments for:</t>
  </si>
  <si>
    <t>- Credit shows a statistically significant relationship to expected loss</t>
  </si>
  <si>
    <t>Provide two areguments for and two arguments against the use of credit information.</t>
  </si>
  <si>
    <t>- Credit won't affect the overall rate, but will allow for fair segmentation of risks</t>
  </si>
  <si>
    <t>- Easily obtainable, objective and cannot be manipulated</t>
  </si>
  <si>
    <t>Briefly describe four principles in gathering consent to collect and use credit information.</t>
  </si>
  <si>
    <t>- Credit data is not always accurate and can be affected by outside factors such as credit theft</t>
  </si>
  <si>
    <t>- Can be seen as invasion of privacy</t>
  </si>
  <si>
    <t>- Economic downturns could disrupt the relations amongst credit scores, making it unreliable</t>
  </si>
  <si>
    <t>Discuss the need to review credit-based insurance scores after a change in economic conditions.</t>
  </si>
  <si>
    <t xml:space="preserve">b) </t>
  </si>
  <si>
    <t>Any four of the following:</t>
  </si>
  <si>
    <t>- Consent has to be explicit and clear</t>
  </si>
  <si>
    <t>- Nobody else can consent on behalf of the policyholder</t>
  </si>
  <si>
    <t>- Insured must be told what information is being gathered</t>
  </si>
  <si>
    <t>- Insured must be told what the information is being used for</t>
  </si>
  <si>
    <t>- Insured must be free to decline consent</t>
  </si>
  <si>
    <t>- Must use current up-to-date credit information</t>
  </si>
  <si>
    <t>A change of economic condition would trigger a change in the distribution of credit scores in the insurer's mix of business.</t>
  </si>
  <si>
    <t>If the relation between the different credit score groups have changed, then the relativities need to be reviewed.</t>
  </si>
  <si>
    <t>Joint &amp; Several Liability: Plaintiff may recover any or all damages from any or all defendants regardless of share of liability</t>
  </si>
  <si>
    <t>It is plaintiff-friendly as it favours compensation to the plaintiff instead of fairness to the defendant.</t>
  </si>
  <si>
    <t xml:space="preserve">a) </t>
  </si>
  <si>
    <t>Probable yield represents the expected yield per unit of exposure for a given producer, agriculture product and crop year</t>
  </si>
  <si>
    <t>With respect to Agriculture insurnace in Canada</t>
  </si>
  <si>
    <t>It is used to measure coverage for yield-based plans</t>
  </si>
  <si>
    <t>Define Probable Yield</t>
  </si>
  <si>
    <t>Any three of the following methods:</t>
  </si>
  <si>
    <t>- Long-term average yield method (15-25 years)</t>
  </si>
  <si>
    <t>- Capping data to limit drastic year-over-year changes</t>
  </si>
  <si>
    <t>Identify three stabilizing techniques used in probable yield methods</t>
  </si>
  <si>
    <t>- Cushioning by giving less weight to data outliers when calculating averages</t>
  </si>
  <si>
    <t>- Apply floors and/or ceilings to data points to smooth out the effect of outliers</t>
  </si>
  <si>
    <t>East Canada PML 420</t>
  </si>
  <si>
    <t xml:space="preserve">The following information is available for a P&amp;C insurance company as at December 31, 2021. </t>
  </si>
  <si>
    <t xml:space="preserve">All amounts are in millions of dollars </t>
  </si>
  <si>
    <t>West Canada PML 420</t>
  </si>
  <si>
    <t>East Canada PML 500</t>
  </si>
  <si>
    <t>West Canada PML 500</t>
  </si>
  <si>
    <t>Countrywide PML 500</t>
  </si>
  <si>
    <t>East Canada PML 250</t>
  </si>
  <si>
    <t>West Canada PML 250</t>
  </si>
  <si>
    <t>ERC</t>
  </si>
  <si>
    <t>Financial resources to support earthquake risk</t>
  </si>
  <si>
    <t xml:space="preserve">The company does not purchase reinsurance for its earthquake exposure. </t>
  </si>
  <si>
    <t>The company is progressively phasing from a 420-year return period in 2014 to a 500-year return period in 2022.</t>
  </si>
  <si>
    <t>- Capital and surplus</t>
  </si>
  <si>
    <t>- Earthquake premium reserve</t>
  </si>
  <si>
    <t>- Reinsurance</t>
  </si>
  <si>
    <t>- Capital market financing</t>
  </si>
  <si>
    <t>Identify the four financial resources to support the earthquake risk</t>
  </si>
  <si>
    <t>Any four of the follwing:</t>
  </si>
  <si>
    <t>- Document how the use of the earthquake models fits within their earthquake risk management process</t>
  </si>
  <si>
    <t>- Understand current modelling alternatives and why the model used is appropriate for the applicable insurance portfolio</t>
  </si>
  <si>
    <t>- Ensure there are adequately qualified staff to appropriately run the models on a regular basis when earthquake models are used in-house</t>
  </si>
  <si>
    <t>Briefly describe four sound earthquake modeling best practices</t>
  </si>
  <si>
    <t>- Have a sound understanding of key assumptions, methodologies, and limitations underlying the model used</t>
  </si>
  <si>
    <t>- Understand model uncertainty and how this is addressed in determining capital adequacy and related reinsurance arrangements</t>
  </si>
  <si>
    <t xml:space="preserve">- Have evidence that the granularity and quality of data used is appropriate for the model </t>
  </si>
  <si>
    <t>For each of the following contracts, explain whether there is a transfer of risk</t>
  </si>
  <si>
    <t>i)</t>
  </si>
  <si>
    <t>No risk transfer</t>
  </si>
  <si>
    <t>Reinsurer has no losses for events less than $2M because of the aggregate deductible $1M and the company retention of $1M under the XoL policy</t>
  </si>
  <si>
    <t>(i)</t>
  </si>
  <si>
    <t>Excess of loss treaty: $2M excess of $1M</t>
  </si>
  <si>
    <t>For events greater than $2M, only losses up to $3M is covered, i.e. only $1M of loss would be paid by the reinsurer and that equals the reinsurance premium</t>
  </si>
  <si>
    <t>Aggregate limit: $2M</t>
  </si>
  <si>
    <t>Therefore there is no risk transfer</t>
  </si>
  <si>
    <t>Aggregate deductible: $1M</t>
  </si>
  <si>
    <t>Reinsurance premium: $1M</t>
  </si>
  <si>
    <t>ii)</t>
  </si>
  <si>
    <t>Yes there is risk transfer</t>
  </si>
  <si>
    <t>Risk transfer exists if the reinsurer assumes "substaintially all" risks under the reinsurance portion, which in this case is 40% QS</t>
  </si>
  <si>
    <t>(ii)</t>
  </si>
  <si>
    <t>40% quota share</t>
  </si>
  <si>
    <t>Ceding commission 23%</t>
  </si>
  <si>
    <t>Expected loss ratio: 60%</t>
  </si>
  <si>
    <t>iii)</t>
  </si>
  <si>
    <t>Reinsurer expense: 7%</t>
  </si>
  <si>
    <t>There is no risk limiting features and it is clear that the insured is covered in case of an severe earthquake event with significant risk of loss to the reinsurer</t>
  </si>
  <si>
    <t>(iii)</t>
  </si>
  <si>
    <t>$300M excess of $50M earthquake reinsurance</t>
  </si>
  <si>
    <t xml:space="preserve">Sample risk limiting features: </t>
  </si>
  <si>
    <t>Reinsurance premium $5M</t>
  </si>
  <si>
    <t>1) Profit sharing</t>
  </si>
  <si>
    <t>100 years PML $50M</t>
  </si>
  <si>
    <t>The actuary would be careful where there is a pre-determined expectation of large profit sharing. Such an expectation might be indicative of insufficient risk transfer.</t>
  </si>
  <si>
    <t>200 years PML $200M</t>
  </si>
  <si>
    <t>500 years PML $350M</t>
  </si>
  <si>
    <t>2) Adjustability of reinsurance premiums and/or commissions</t>
  </si>
  <si>
    <t>Adjustable commission on a proportional contract, a swing rate on a non-proportional contract, limits or caps on loss ratios, etc</t>
  </si>
  <si>
    <t>Identify three potential risk limiting features of a reinsurance contract and briefly describe how</t>
  </si>
  <si>
    <t>3) Pre-set limits to timing of payments</t>
  </si>
  <si>
    <t>Some contract features which restrict the timing of payment may indicate an intention to limit risk transfer</t>
  </si>
  <si>
    <t>For example, some contracts may contain payment schedules or funds withheld provision which may indicate such an intention</t>
  </si>
  <si>
    <t xml:space="preserve">(a) </t>
  </si>
  <si>
    <t>(i) Investment Yield = 2x NII / (InvestedAssets_0 + InvestedAssets_1-NII)</t>
  </si>
  <si>
    <t>The following information is available from Dec 31, 2021 P&amp;C-1 of a P&amp;C insurance company. All amount</t>
  </si>
  <si>
    <t>Need to calculate NII from Income Statement first:</t>
  </si>
  <si>
    <t>are in thousands of dollars (C$000s).</t>
  </si>
  <si>
    <t>NII = InvInc + Realized Gain (Loss) - InvExps</t>
  </si>
  <si>
    <t>current</t>
  </si>
  <si>
    <t>prior</t>
  </si>
  <si>
    <t>Beginning invested assets:</t>
  </si>
  <si>
    <t>Balance Sheet</t>
  </si>
  <si>
    <t>year</t>
  </si>
  <si>
    <t>Cash</t>
  </si>
  <si>
    <t>Ending invested assets</t>
  </si>
  <si>
    <t>Bonds and Debentures</t>
  </si>
  <si>
    <t>Common Shares</t>
  </si>
  <si>
    <t>Investment Yield</t>
  </si>
  <si>
    <t>Real Estate</t>
  </si>
  <si>
    <t>Broker Receivables</t>
  </si>
  <si>
    <t>Unearned Premiums Recoverables</t>
  </si>
  <si>
    <t>(ii) ROE = NI after-tax / Equity</t>
  </si>
  <si>
    <t>Unpaid Claims and Adjustment Expenses Recoverables</t>
  </si>
  <si>
    <t>?</t>
  </si>
  <si>
    <t>NI after-tax = NEP - Net L&amp;LAE - Total UW Expense + Net InvtInc - taxes</t>
  </si>
  <si>
    <t>Total Assets</t>
  </si>
  <si>
    <t>Gross Unpaid Claims and Adjustment Expenses</t>
  </si>
  <si>
    <t>NEP = NWP - Change (UEP)</t>
  </si>
  <si>
    <t>Equity</t>
  </si>
  <si>
    <t>ROE</t>
  </si>
  <si>
    <t>Income Statement</t>
  </si>
  <si>
    <t>Net Premiums Written</t>
  </si>
  <si>
    <t>iii) ROA = NI after tax / 2-yr avg. Assets</t>
  </si>
  <si>
    <t>Decrease (Increase) in Net Unearned Premiums</t>
  </si>
  <si>
    <t>Total Acquisition Expenses</t>
  </si>
  <si>
    <t>iv) Net UW Leverage Ratio = NWP / Equity</t>
  </si>
  <si>
    <t>General Expenses</t>
  </si>
  <si>
    <t>Investment Income</t>
  </si>
  <si>
    <t>Realized Gain (Losses)</t>
  </si>
  <si>
    <t>The company is in good financial health based on the above metrics:</t>
  </si>
  <si>
    <t>Investment Expenses</t>
  </si>
  <si>
    <t>Income Taxes - Total</t>
  </si>
  <si>
    <t>- An ROE of 11.75% suggests the company's equity base can sustain its earnings and it is above the acceptable threshold of 5.4%</t>
  </si>
  <si>
    <t>- An ROA of 5.31% is above the MSA threshold of 2.6%</t>
  </si>
  <si>
    <t>Net Leverage Ratio at the end of current year is</t>
  </si>
  <si>
    <t>All of the company's reinsurance is placed with an unregistered reinsurer without collateral.</t>
  </si>
  <si>
    <t>Calculate each of the following ratios at December 31, 2021.</t>
  </si>
  <si>
    <t>i. Investment Yield</t>
  </si>
  <si>
    <t>Net Leverage Ratio = (NWP + Net Liabs) / Equity</t>
  </si>
  <si>
    <t>ii. Return on Equity</t>
  </si>
  <si>
    <t>Net Liabs</t>
  </si>
  <si>
    <t>iii. Return on Assets</t>
  </si>
  <si>
    <t>iv. Net Underwriting Leverage Ratio</t>
  </si>
  <si>
    <t>Total Liabs = Net Liabs + UCAE recoverable + UEP recoverables = A - E</t>
  </si>
  <si>
    <t>Based on the ratios calculated above, assess wether the company is in good financial health.</t>
  </si>
  <si>
    <t>UCAE recoverables</t>
  </si>
  <si>
    <t>MSA ratio shortcomings:</t>
  </si>
  <si>
    <t>Calculate the unpaid claims and adjustment expenses recoverable at the end of the current year</t>
  </si>
  <si>
    <t>- Subjective analysis of the company's market position</t>
  </si>
  <si>
    <t>- Parental support</t>
  </si>
  <si>
    <t>- Sources of capital</t>
  </si>
  <si>
    <t>- Quality and sustainability of reinsurance support</t>
  </si>
  <si>
    <t>- Management quality</t>
  </si>
  <si>
    <t>- Prospects of growth and innovation</t>
  </si>
  <si>
    <t>-Identify and Assess Risk</t>
  </si>
  <si>
    <t>ORSA is a tool to help an insurer identify and assess risk that could have a material impact on its financial health</t>
  </si>
  <si>
    <t>- Relate Risk to Capital</t>
  </si>
  <si>
    <t>Describe three key elements of ORSA.</t>
  </si>
  <si>
    <t>- Monitor and Report</t>
  </si>
  <si>
    <t>Insurer should use a model with an understanding of its underlying assumptions, methodologies and assumptions. It should report to the Board at least once a year stating</t>
  </si>
  <si>
    <t xml:space="preserve">Briefly describe four ways in which the Own Risk and Solvency Assessment (ORSA) is a better </t>
  </si>
  <si>
    <t>the most material risks, the risk appetite, the potential management actions, etc</t>
  </si>
  <si>
    <t>management tool for the Board of Directors comkpared to the MCT</t>
  </si>
  <si>
    <t>- ORSA considers more risks than MCT and includes all risks that are material and relevant to the company</t>
  </si>
  <si>
    <t>- ORSA takes into account dependencies and correlations between risks whereas MCT only considers correlation between insurance and asset risks</t>
  </si>
  <si>
    <t>- ORSA allows for the setting of an internal target to reflect an insurer's own risk appetite</t>
  </si>
  <si>
    <t>- ORSA is more forward-looking than MCT and it allows for an early intervention</t>
  </si>
  <si>
    <t>BA - Exam 6C - Version B - Spring 2022</t>
  </si>
  <si>
    <t>List 3 funding mechanisms for PACICC.</t>
  </si>
  <si>
    <t>==&gt;</t>
  </si>
  <si>
    <t>According to MSA Research, identify three aspects of financial strength that are not captured in</t>
  </si>
  <si>
    <t>the OSFI regulatory solvency ratios and tests.</t>
  </si>
  <si>
    <t>(This answer looks more complicated than it really is because I wrote out all the intermediate steps in detail.)</t>
  </si>
  <si>
    <t>capital available gross of deductions:</t>
  </si>
  <si>
    <t xml:space="preserve">  (sum entries in first table)</t>
  </si>
  <si>
    <r>
      <rPr>
        <sz val="11"/>
        <color rgb="FFFF0000"/>
        <rFont val="Calibri"/>
        <family val="2"/>
        <scheme val="minor"/>
      </rPr>
      <t>deduction</t>
    </r>
    <r>
      <rPr>
        <sz val="11"/>
        <rFont val="Calibri"/>
        <family val="2"/>
        <scheme val="minor"/>
      </rPr>
      <t xml:space="preserve"> for unregistered reinsurance:</t>
    </r>
  </si>
  <si>
    <t xml:space="preserve">  (see below)</t>
  </si>
  <si>
    <r>
      <rPr>
        <sz val="11"/>
        <color rgb="FFFF0000"/>
        <rFont val="Calibri"/>
        <family val="2"/>
        <scheme val="minor"/>
      </rPr>
      <t>deduction</t>
    </r>
    <r>
      <rPr>
        <sz val="11"/>
        <rFont val="Calibri"/>
        <family val="2"/>
        <scheme val="minor"/>
      </rPr>
      <t xml:space="preserve"> for excess B &amp; C capital:</t>
    </r>
  </si>
  <si>
    <t>Calculate the MCT capital available.</t>
  </si>
  <si>
    <t>MCT net capital available</t>
  </si>
  <si>
    <t xml:space="preserve"> &lt;==== final answer to part (a)</t>
  </si>
  <si>
    <t>qualifying category A common shares</t>
  </si>
  <si>
    <r>
      <rPr>
        <sz val="11"/>
        <color rgb="FFFF0000"/>
        <rFont val="Calibri"/>
        <family val="2"/>
        <scheme val="minor"/>
      </rPr>
      <t>deduction</t>
    </r>
    <r>
      <rPr>
        <sz val="11"/>
        <rFont val="Calibri"/>
        <family val="2"/>
        <scheme val="minor"/>
      </rPr>
      <t xml:space="preserve"> for unregistered reinsurance:  (for more than 1 reinsurer, calculate for each reinsurer separately)</t>
    </r>
  </si>
  <si>
    <t>contributed surplus</t>
  </si>
  <si>
    <t>Retained Earnings</t>
  </si>
  <si>
    <t>=</t>
  </si>
  <si>
    <t>(</t>
  </si>
  <si>
    <t>UEP</t>
  </si>
  <si>
    <t>+</t>
  </si>
  <si>
    <t>O/S Recov</t>
  </si>
  <si>
    <t>ReinsRecov</t>
  </si>
  <si>
    <t>)</t>
  </si>
  <si>
    <t>reserves</t>
  </si>
  <si>
    <t>-</t>
  </si>
  <si>
    <t>ReinsPay</t>
  </si>
  <si>
    <t>NOD</t>
  </si>
  <si>
    <t>LOC</t>
  </si>
  <si>
    <t>AOCI</t>
  </si>
  <si>
    <t>qualifying category B instruments</t>
  </si>
  <si>
    <t>qualifying category C instruments</t>
  </si>
  <si>
    <t>non-controlling interests</t>
  </si>
  <si>
    <r>
      <t xml:space="preserve">You'll also need some information on reinsurance ceded to </t>
    </r>
    <r>
      <rPr>
        <u/>
        <sz val="11"/>
        <rFont val="Calibri"/>
        <family val="2"/>
        <scheme val="minor"/>
      </rPr>
      <t>unregistered reinsurers</t>
    </r>
    <r>
      <rPr>
        <sz val="11"/>
        <rFont val="Calibri"/>
        <family val="2"/>
        <scheme val="minor"/>
      </rPr>
      <t>:</t>
    </r>
  </si>
  <si>
    <t>deduction</t>
  </si>
  <si>
    <t>max</t>
  </si>
  <si>
    <t>,</t>
  </si>
  <si>
    <t>UEP ceded:</t>
  </si>
  <si>
    <t>($) UnEarned Premiums ceded to assuming reinsurer</t>
  </si>
  <si>
    <t>O/S Recov:</t>
  </si>
  <si>
    <t>($) OutStanding losses Recoverable from assuming reinsurer</t>
  </si>
  <si>
    <t>&lt;==== deduction for unregistered reinsurance</t>
  </si>
  <si>
    <t>Reins Recv:</t>
  </si>
  <si>
    <t>($) Reinsurance Receivable</t>
  </si>
  <si>
    <t>Reins Pay:</t>
  </si>
  <si>
    <t>($) Reinsurance Payable</t>
  </si>
  <si>
    <t>NOD:</t>
  </si>
  <si>
    <t>($) Non-Owned Deposits (RSA + Other) &amp; includes FUNDS to secure pmt</t>
  </si>
  <si>
    <t>from assuming insurer (the FUNDS inclusion is new for 2018)</t>
  </si>
  <si>
    <t>Let</t>
  </si>
  <si>
    <t>BC</t>
  </si>
  <si>
    <t>limit for (Category B) + (Category C) capital</t>
  </si>
  <si>
    <t>LOC:</t>
  </si>
  <si>
    <t>($) Letters Of Credit</t>
  </si>
  <si>
    <t>limit for (Category B) capital</t>
  </si>
  <si>
    <t>O/S</t>
  </si>
  <si>
    <t>Reins</t>
  </si>
  <si>
    <t>Apply the formula:</t>
  </si>
  <si>
    <t>x</t>
  </si>
  <si>
    <t>CapAvail</t>
  </si>
  <si>
    <t>ceded</t>
  </si>
  <si>
    <t>Recov</t>
  </si>
  <si>
    <t>Recv</t>
  </si>
  <si>
    <t>Pay</t>
  </si>
  <si>
    <t>Calculate the MCT minimum capital required.</t>
  </si>
  <si>
    <t>Line of</t>
  </si>
  <si>
    <t>net</t>
  </si>
  <si>
    <t>* net unpaid is discounted but excludes</t>
  </si>
  <si>
    <t>Business</t>
  </si>
  <si>
    <t>unpaid *</t>
  </si>
  <si>
    <t>margin</t>
  </si>
  <si>
    <t xml:space="preserve">   PfADs</t>
  </si>
  <si>
    <t>Line 1</t>
  </si>
  <si>
    <t>Then:</t>
  </si>
  <si>
    <t>Line 2</t>
  </si>
  <si>
    <t>excess</t>
  </si>
  <si>
    <t>actual</t>
  </si>
  <si>
    <t>over</t>
  </si>
  <si>
    <t>net prem</t>
  </si>
  <si>
    <t>DWP</t>
  </si>
  <si>
    <t>AWP</t>
  </si>
  <si>
    <t>CWP</t>
  </si>
  <si>
    <t>amounts</t>
  </si>
  <si>
    <t>limit</t>
  </si>
  <si>
    <t>liabs</t>
  </si>
  <si>
    <t>(12 mths)</t>
  </si>
  <si>
    <t>category</t>
  </si>
  <si>
    <t>B + C</t>
  </si>
  <si>
    <t>&lt;==== max of excess amounts (final category BC deduction)</t>
  </si>
  <si>
    <t>These 2 amounts relate to components of insurance risk:</t>
  </si>
  <si>
    <t>capital required for unregistered reinsurers:</t>
  </si>
  <si>
    <t>Summary of results:</t>
  </si>
  <si>
    <t>capital required for catastrophes:</t>
  </si>
  <si>
    <r>
      <t xml:space="preserve">capital required for </t>
    </r>
    <r>
      <rPr>
        <u/>
        <sz val="11"/>
        <rFont val="Calibri"/>
        <family val="2"/>
        <scheme val="minor"/>
      </rPr>
      <t>insurance</t>
    </r>
    <r>
      <rPr>
        <sz val="11"/>
        <rFont val="Calibri"/>
        <family val="2"/>
        <scheme val="minor"/>
      </rPr>
      <t xml:space="preserve"> risk:</t>
    </r>
  </si>
  <si>
    <t xml:space="preserve">  (sum the components)</t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</si>
  <si>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interest rate</t>
    </r>
    <r>
      <rPr>
        <sz val="11"/>
        <color theme="1"/>
        <rFont val="Calibri"/>
        <family val="2"/>
        <scheme val="minor"/>
      </rPr>
      <t xml:space="preserve"> risk is:</t>
    </r>
  </si>
  <si>
    <t xml:space="preserve">  component: unpaid claims</t>
  </si>
  <si>
    <t xml:space="preserve">  (see further down)</t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</si>
  <si>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foreign exchange</t>
    </r>
    <r>
      <rPr>
        <sz val="11"/>
        <color theme="1"/>
        <rFont val="Calibri"/>
        <family val="2"/>
        <scheme val="minor"/>
      </rPr>
      <t xml:space="preserve"> risk is:</t>
    </r>
  </si>
  <si>
    <t xml:space="preserve">  component: premium liabilities</t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</si>
  <si>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equity</t>
    </r>
    <r>
      <rPr>
        <sz val="11"/>
        <color theme="1"/>
        <rFont val="Calibri"/>
        <family val="2"/>
        <scheme val="minor"/>
      </rPr>
      <t xml:space="preserve"> risk is:</t>
    </r>
  </si>
  <si>
    <t xml:space="preserve">  component: unregistered reinsurance</t>
  </si>
  <si>
    <t xml:space="preserve">  (given)</t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</si>
  <si>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real estate</t>
    </r>
    <r>
      <rPr>
        <sz val="11"/>
        <color theme="1"/>
        <rFont val="Calibri"/>
        <family val="2"/>
        <scheme val="minor"/>
      </rPr>
      <t xml:space="preserve"> risk is:</t>
    </r>
  </si>
  <si>
    <t xml:space="preserve">  component: catastrophes</t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</si>
  <si>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credit</t>
    </r>
    <r>
      <rPr>
        <sz val="11"/>
        <color theme="1"/>
        <rFont val="Calibri"/>
        <family val="2"/>
        <scheme val="minor"/>
      </rPr>
      <t xml:space="preserve"> risk is:</t>
    </r>
  </si>
  <si>
    <r>
      <t xml:space="preserve">capital required for </t>
    </r>
    <r>
      <rPr>
        <u/>
        <sz val="11"/>
        <rFont val="Calibri"/>
        <family val="2"/>
        <scheme val="minor"/>
      </rPr>
      <t>market</t>
    </r>
    <r>
      <rPr>
        <sz val="11"/>
        <rFont val="Calibri"/>
        <family val="2"/>
        <scheme val="minor"/>
      </rPr>
      <t xml:space="preserve"> risk:</t>
    </r>
  </si>
  <si>
    <r>
      <t xml:space="preserve">  (sum the components) </t>
    </r>
    <r>
      <rPr>
        <sz val="11"/>
        <rFont val="Calibri"/>
        <family val="2"/>
        <scheme val="minor"/>
      </rPr>
      <t xml:space="preserve">[Hint: </t>
    </r>
    <r>
      <rPr>
        <b/>
        <sz val="11"/>
        <color rgb="FFFF0000"/>
        <rFont val="Calibri"/>
        <family val="2"/>
        <scheme val="minor"/>
      </rPr>
      <t>Mr.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IFER</t>
    </r>
    <r>
      <rPr>
        <sz val="11"/>
        <rFont val="Calibri"/>
        <family val="2"/>
        <scheme val="minor"/>
      </rPr>
      <t>]</t>
    </r>
  </si>
  <si>
    <t>Here is some more information that you'll need:</t>
  </si>
  <si>
    <t xml:space="preserve">  component: interest rate risk</t>
  </si>
  <si>
    <t xml:space="preserve">  component: foreign exchange</t>
  </si>
  <si>
    <t>AWP(ig):</t>
  </si>
  <si>
    <t>($) AWP (last 12 mths) from intra-group pooling</t>
  </si>
  <si>
    <t xml:space="preserve">  component: equity</t>
  </si>
  <si>
    <t>CWP(ig):</t>
  </si>
  <si>
    <t>($) CWP (last 12 mths) from intra-group pooling</t>
  </si>
  <si>
    <t xml:space="preserve">  component: real estate</t>
  </si>
  <si>
    <t>growth</t>
  </si>
  <si>
    <r>
      <t xml:space="preserve">capital required for </t>
    </r>
    <r>
      <rPr>
        <u/>
        <sz val="11"/>
        <rFont val="Calibri"/>
        <family val="2"/>
        <scheme val="minor"/>
      </rPr>
      <t>credit</t>
    </r>
    <r>
      <rPr>
        <sz val="11"/>
        <rFont val="Calibri"/>
        <family val="2"/>
        <scheme val="minor"/>
      </rPr>
      <t xml:space="preserve"> risk:</t>
    </r>
  </si>
  <si>
    <r>
      <t xml:space="preserve">capital required for </t>
    </r>
    <r>
      <rPr>
        <u/>
        <sz val="11"/>
        <rFont val="Calibri"/>
        <family val="2"/>
        <scheme val="minor"/>
      </rPr>
      <t>operational</t>
    </r>
    <r>
      <rPr>
        <sz val="11"/>
        <rFont val="Calibri"/>
        <family val="2"/>
        <scheme val="minor"/>
      </rPr>
      <t xml:space="preserve"> risk:</t>
    </r>
  </si>
  <si>
    <t>risk factor</t>
  </si>
  <si>
    <t>DWP over last 12 months</t>
  </si>
  <si>
    <t>diversification credit (DC):</t>
  </si>
  <si>
    <t>AWP over last 12 months</t>
  </si>
  <si>
    <t>MCT minimum capital required:</t>
  </si>
  <si>
    <t>[ SUM(IMCO) - DC ] / 1.5</t>
  </si>
  <si>
    <t xml:space="preserve"> &lt;==== final answer to part (b)</t>
  </si>
  <si>
    <t>CWP over last 12 months</t>
  </si>
  <si>
    <t>AWP(ig) over last 12 months</t>
  </si>
  <si>
    <t>Detailed calculations for selected components:</t>
  </si>
  <si>
    <t>CWP(ig) over last 12 months</t>
  </si>
  <si>
    <t>premium growth above 20%</t>
  </si>
  <si>
    <t>&lt;==</t>
  </si>
  <si>
    <t>component of insurance risk</t>
  </si>
  <si>
    <t>capital factor *</t>
  </si>
  <si>
    <t xml:space="preserve">CapReq(unpaid claims liability) </t>
  </si>
  <si>
    <t>SUMPRODUCT(net unpaid, margin)</t>
  </si>
  <si>
    <t>&lt;== sum over all lines</t>
  </si>
  <si>
    <t>* capital factor applies to total capital required BEFORE operational risk margin</t>
  </si>
  <si>
    <t xml:space="preserve">   and diversification credit.</t>
  </si>
  <si>
    <t>&lt;== Line 1</t>
  </si>
  <si>
    <t>&lt;== Line 2</t>
  </si>
  <si>
    <t>Calculate the MCT ratio and briefly comment on the ability of this company to satisfy</t>
  </si>
  <si>
    <t>its obligations and continue operations.</t>
  </si>
  <si>
    <t xml:space="preserve"> &lt;==== CapReq(unpaid claims liability)</t>
  </si>
  <si>
    <t>(1)</t>
  </si>
  <si>
    <t>(2)</t>
  </si>
  <si>
    <t>(3)</t>
  </si>
  <si>
    <t xml:space="preserve">(4) = </t>
  </si>
  <si>
    <t xml:space="preserve">(5) = </t>
  </si>
  <si>
    <t xml:space="preserve">(6) = </t>
  </si>
  <si>
    <t>NWP</t>
  </si>
  <si>
    <t>MAX of</t>
  </si>
  <si>
    <t>(2) x (5)</t>
  </si>
  <si>
    <t>x 30%</t>
  </si>
  <si>
    <t>(1) &amp; (4)</t>
  </si>
  <si>
    <t xml:space="preserve"> &lt;==== CapReq(premium liability)</t>
  </si>
  <si>
    <t>First, let's calculate CR(0)</t>
  </si>
  <si>
    <t>CR(0)</t>
  </si>
  <si>
    <t>capital required</t>
  </si>
  <si>
    <t>BEFORE</t>
  </si>
  <si>
    <t>operational risk &amp; diversification credit</t>
  </si>
  <si>
    <t>CapReq(ins. risk)</t>
  </si>
  <si>
    <t>CapReq(market risk)</t>
  </si>
  <si>
    <t>CapReq(credit risk)</t>
  </si>
  <si>
    <t>Now, multiply CR(0) by 30% to get an upper limit on operational risk.</t>
  </si>
  <si>
    <t>(The purpose of this limit to dampen operational risk for companies with HIGH-volume + LOW-complexity business</t>
  </si>
  <si>
    <t xml:space="preserve"> that also maintain high levels of reinsurance.)</t>
  </si>
  <si>
    <t xml:space="preserve"> &lt;== upper limit on operational risk</t>
  </si>
  <si>
    <r>
      <t xml:space="preserve">Now apply risk factors to components </t>
    </r>
    <r>
      <rPr>
        <u/>
        <sz val="11"/>
        <color theme="1"/>
        <rFont val="Calibri"/>
        <family val="2"/>
        <scheme val="minor"/>
      </rPr>
      <t>other than intra-group pooling</t>
    </r>
    <r>
      <rPr>
        <sz val="11"/>
        <color theme="1"/>
        <rFont val="Calibri"/>
        <family val="2"/>
        <scheme val="minor"/>
      </rPr>
      <t>:</t>
    </r>
  </si>
  <si>
    <t>component</t>
  </si>
  <si>
    <t>========&gt;</t>
  </si>
  <si>
    <t>growth% &gt; 20%</t>
  </si>
  <si>
    <t>(DWP + AWP) / (1 + growth)</t>
  </si>
  <si>
    <t xml:space="preserve"> &lt;== sum</t>
  </si>
  <si>
    <r>
      <t xml:space="preserve">Now apply risk factors to </t>
    </r>
    <r>
      <rPr>
        <u/>
        <sz val="11"/>
        <color theme="1"/>
        <rFont val="Calibri"/>
        <family val="2"/>
        <scheme val="minor"/>
      </rPr>
      <t>intra-group pooling</t>
    </r>
    <r>
      <rPr>
        <sz val="11"/>
        <color theme="1"/>
        <rFont val="Calibri"/>
        <family val="2"/>
        <scheme val="minor"/>
      </rPr>
      <t>:</t>
    </r>
  </si>
  <si>
    <t>AWP(ig)</t>
  </si>
  <si>
    <t>DWP(ig)</t>
  </si>
  <si>
    <t xml:space="preserve"> &lt;== MAX</t>
  </si>
  <si>
    <t>Putting it all together</t>
  </si>
  <si>
    <r>
      <t xml:space="preserve">components </t>
    </r>
    <r>
      <rPr>
        <u/>
        <sz val="11"/>
        <color theme="1"/>
        <rFont val="Calibri"/>
        <family val="2"/>
        <scheme val="minor"/>
      </rPr>
      <t>other than</t>
    </r>
    <r>
      <rPr>
        <sz val="11"/>
        <color theme="1"/>
        <rFont val="Calibri"/>
        <family val="2"/>
        <scheme val="minor"/>
      </rPr>
      <t xml:space="preserve"> intra-group pooling</t>
    </r>
  </si>
  <si>
    <t>components for intra-group pooling</t>
  </si>
  <si>
    <t xml:space="preserve"> &lt;== uncapped operational risk</t>
  </si>
  <si>
    <t>The final step is to cap the above result against the upper limit on operational risk calculated earlier.</t>
  </si>
  <si>
    <t>CapReq(operational risk)</t>
  </si>
  <si>
    <t>min(</t>
  </si>
  <si>
    <t xml:space="preserve"> &lt;==== CapReq(operational risk)</t>
  </si>
  <si>
    <t>diversification credit:</t>
  </si>
  <si>
    <t>Asset Risk</t>
  </si>
  <si>
    <t>Credit Risk</t>
  </si>
  <si>
    <t>M</t>
  </si>
  <si>
    <t>Market Risk</t>
  </si>
  <si>
    <t>Then</t>
  </si>
  <si>
    <t>I</t>
  </si>
  <si>
    <t>Insurance Risk</t>
  </si>
  <si>
    <t xml:space="preserve"> (from above)</t>
  </si>
  <si>
    <t>diversification credit</t>
  </si>
  <si>
    <r>
      <t xml:space="preserve">sqrt [ </t>
    </r>
    <r>
      <rPr>
        <b/>
        <sz val="11"/>
        <color rgb="FF00B050"/>
        <rFont val="Calibri"/>
        <family val="2"/>
        <scheme val="minor"/>
      </rPr>
      <t>A^2</t>
    </r>
    <r>
      <rPr>
        <sz val="11"/>
        <color theme="1"/>
        <rFont val="Calibri"/>
        <family val="2"/>
        <scheme val="minor"/>
      </rPr>
      <t xml:space="preserve"> + </t>
    </r>
    <r>
      <rPr>
        <b/>
        <sz val="11"/>
        <color rgb="FF7030A0"/>
        <rFont val="Calibri"/>
        <family val="2"/>
        <scheme val="minor"/>
      </rPr>
      <t>I^2</t>
    </r>
    <r>
      <rPr>
        <sz val="11"/>
        <color theme="1"/>
        <rFont val="Calibri"/>
        <family val="2"/>
        <scheme val="minor"/>
      </rPr>
      <t xml:space="preserve"> + ( </t>
    </r>
    <r>
      <rPr>
        <b/>
        <sz val="11"/>
        <color rgb="FF0070C0"/>
        <rFont val="Calibri"/>
        <family val="2"/>
        <scheme val="minor"/>
      </rPr>
      <t>2 x 0.5 x Ax I</t>
    </r>
    <r>
      <rPr>
        <sz val="11"/>
        <color theme="1"/>
        <rFont val="Calibri"/>
        <family val="2"/>
        <scheme val="minor"/>
      </rPr>
      <t xml:space="preserve"> ) ]</t>
    </r>
  </si>
  <si>
    <t xml:space="preserve"> &lt;==== diversification credit</t>
  </si>
  <si>
    <t>MCT ratio</t>
  </si>
  <si>
    <t>(capital available)</t>
  </si>
  <si>
    <t>/</t>
  </si>
  <si>
    <t>(minimum capital required)</t>
  </si>
  <si>
    <t>part (a)</t>
  </si>
  <si>
    <t>part (b)</t>
  </si>
  <si>
    <t xml:space="preserve"> &lt;==== final answer to part (c)</t>
  </si>
  <si>
    <t xml:space="preserve">This MCT ratio of </t>
  </si>
  <si>
    <t>is above OSFI's supervisery target of 150%.</t>
  </si>
  <si>
    <t>Therefore this company is likely able to meeting its obligations and continue operations.</t>
  </si>
  <si>
    <t>This is the easy version of the DPAE problem. You should also practice the harder version</t>
  </si>
  <si>
    <r>
      <t xml:space="preserve">where you are </t>
    </r>
    <r>
      <rPr>
        <i/>
        <u/>
        <sz val="11"/>
        <rFont val="Calibri"/>
        <family val="2"/>
        <scheme val="minor"/>
      </rPr>
      <t>not</t>
    </r>
    <r>
      <rPr>
        <i/>
        <sz val="11"/>
        <rFont val="Calibri"/>
        <family val="2"/>
        <scheme val="minor"/>
      </rPr>
      <t xml:space="preserve"> given </t>
    </r>
    <r>
      <rPr>
        <b/>
        <i/>
        <sz val="11"/>
        <color rgb="FFC00000"/>
        <rFont val="Calibri"/>
        <family val="2"/>
        <scheme val="minor"/>
      </rPr>
      <t>APV</t>
    </r>
    <r>
      <rPr>
        <i/>
        <sz val="11"/>
        <rFont val="Calibri"/>
        <family val="2"/>
        <scheme val="minor"/>
      </rPr>
      <t xml:space="preserve"> but have to calculate it. There is a practice template for</t>
    </r>
  </si>
  <si>
    <t>Calculate the maximum allowable DPAE and the PDR (if any.)</t>
  </si>
  <si>
    <t>both versions in the BattleQuizzes for CIA.PrLiabs.</t>
  </si>
  <si>
    <t>net UPR</t>
  </si>
  <si>
    <t>DPAE</t>
  </si>
  <si>
    <t>UPR</t>
  </si>
  <si>
    <t>PolLiabs(UPR)</t>
  </si>
  <si>
    <t>UEComm</t>
  </si>
  <si>
    <t>FutRe</t>
  </si>
  <si>
    <t>MfAD(inv)</t>
  </si>
  <si>
    <t>100 bps</t>
  </si>
  <si>
    <t>ELR</t>
  </si>
  <si>
    <t>MfAD(claims)</t>
  </si>
  <si>
    <t xml:space="preserve">  &lt;== final answer to part (a)</t>
  </si>
  <si>
    <t>ULAE</t>
  </si>
  <si>
    <t>MfAD(re)</t>
  </si>
  <si>
    <t>APV</t>
  </si>
  <si>
    <t>gross (PV+LAE)</t>
  </si>
  <si>
    <t>maintenance</t>
  </si>
  <si>
    <t>Identify the purpose of DPAE and whether it is classified as an asset or a liability.</t>
  </si>
  <si>
    <r>
      <t xml:space="preserve">DPAE is an </t>
    </r>
    <r>
      <rPr>
        <u/>
        <sz val="11"/>
        <color theme="1"/>
        <rFont val="Calibri"/>
        <family val="2"/>
        <scheme val="minor"/>
      </rPr>
      <t>asset</t>
    </r>
    <r>
      <rPr>
        <sz val="11"/>
        <color theme="1"/>
        <rFont val="Calibri"/>
        <family val="2"/>
        <scheme val="minor"/>
      </rPr>
      <t xml:space="preserve">. Its </t>
    </r>
    <r>
      <rPr>
        <b/>
        <sz val="11"/>
        <color rgb="FF00B050"/>
        <rFont val="Calibri"/>
        <family val="2"/>
        <scheme val="minor"/>
      </rPr>
      <t>purpose</t>
    </r>
    <r>
      <rPr>
        <sz val="11"/>
        <color theme="1"/>
        <rFont val="Calibri"/>
        <family val="2"/>
        <scheme val="minor"/>
      </rPr>
      <t xml:space="preserve"> is to recognize prepaid policy expenses over the policy term</t>
    </r>
  </si>
  <si>
    <r>
      <t xml:space="preserve">provided such costs are recoverable from equity in the UPR. </t>
    </r>
    <r>
      <rPr>
        <i/>
        <sz val="11"/>
        <color theme="1"/>
        <rFont val="Calibri"/>
        <family val="2"/>
        <scheme val="minor"/>
      </rPr>
      <t>(This has the advantage of</t>
    </r>
  </si>
  <si>
    <t>matching of revenue and expenses.)</t>
  </si>
  <si>
    <t>Identify 1 example of a DPAE.</t>
  </si>
  <si>
    <r>
      <rPr>
        <b/>
        <i/>
        <sz val="12"/>
        <color theme="1"/>
        <rFont val="Calibri"/>
        <family val="2"/>
        <scheme val="minor"/>
      </rPr>
      <t>Not part of the question:</t>
    </r>
    <r>
      <rPr>
        <i/>
        <sz val="12"/>
        <color theme="1"/>
        <rFont val="Calibri"/>
        <family val="2"/>
        <scheme val="minor"/>
      </rPr>
      <t xml:space="preserve"> Only 1 of DPAE and PDR can be non-zero. Also, PDR is a </t>
    </r>
    <r>
      <rPr>
        <i/>
        <u/>
        <sz val="12"/>
        <color theme="1"/>
        <rFont val="Calibri"/>
        <family val="2"/>
        <scheme val="minor"/>
      </rPr>
      <t>liability</t>
    </r>
    <r>
      <rPr>
        <i/>
        <sz val="12"/>
        <color theme="1"/>
        <rFont val="Calibri"/>
        <family val="2"/>
        <scheme val="minor"/>
      </rPr>
      <t>.</t>
    </r>
  </si>
  <si>
    <t>Any 1 of:</t>
  </si>
  <si>
    <t>(there are probably other examples also)</t>
  </si>
  <si>
    <t>- commissions</t>
  </si>
  <si>
    <t>- TLF (Taxes, Licenses, Fees)</t>
  </si>
  <si>
    <t>- advertising</t>
  </si>
  <si>
    <t>The following conditions must hold throughout the forecast period:</t>
  </si>
  <si>
    <t>According to the Canadian Institute of Actuaries' reading on Financial Condition Testing, what</t>
  </si>
  <si>
    <t>[1]</t>
  </si>
  <si>
    <t>under the base scenario insurer meets its internal target capital ratio(s) as determined by the ORSA</t>
  </si>
  <si>
    <t>are the requirements for being in satisfactory financial condition.</t>
  </si>
  <si>
    <r>
      <t>→ in practice this may be </t>
    </r>
    <r>
      <rPr>
        <b/>
        <sz val="11"/>
        <color rgb="FFFF0000"/>
        <rFont val="Calibri"/>
        <family val="2"/>
        <scheme val="minor"/>
      </rPr>
      <t>MCT ratio &gt; 180%</t>
    </r>
    <r>
      <rPr>
        <sz val="11"/>
        <color rgb="FF222222"/>
        <rFont val="Calibri"/>
        <family val="2"/>
        <scheme val="minor"/>
      </rPr>
      <t> </t>
    </r>
    <r>
      <rPr>
        <i/>
        <sz val="11"/>
        <color rgb="FF222222"/>
        <rFont val="Calibri"/>
        <family val="2"/>
        <scheme val="minor"/>
      </rPr>
      <t>(180% is just an example and would vary based on insurer and circumstances)</t>
    </r>
  </si>
  <si>
    <t>[2]</t>
  </si>
  <si>
    <t>under the going-concern scenarios → insurer meets the regulatory minimum capital ratio(s)</t>
  </si>
  <si>
    <t>Determine whether the following information from the most recent FCT report indicates that the</t>
  </si>
  <si>
    <r>
      <t>→ in practice this may be </t>
    </r>
    <r>
      <rPr>
        <b/>
        <sz val="11"/>
        <color rgb="FFFF0000"/>
        <rFont val="Calibri"/>
        <family val="2"/>
        <scheme val="minor"/>
      </rPr>
      <t>MCT ratio &gt; 100%</t>
    </r>
  </si>
  <si>
    <t>insurer is in satisfactory financial condition.</t>
  </si>
  <si>
    <t>[3]</t>
  </si>
  <si>
    <t>under solvency scenarios → must have assets &gt; liabilities</t>
  </si>
  <si>
    <t>length of forecast period</t>
  </si>
  <si>
    <t>internal target ratio for MCT as determined by ORSA analysis</t>
  </si>
  <si>
    <t>regulatory minimum capital ratio for MCT</t>
  </si>
  <si>
    <t>Step 1a</t>
  </si>
  <si>
    <r>
      <t xml:space="preserve"> check condition on </t>
    </r>
    <r>
      <rPr>
        <u/>
        <sz val="11"/>
        <color theme="1"/>
        <rFont val="Calibri"/>
        <family val="2"/>
        <scheme val="minor"/>
      </rPr>
      <t>base</t>
    </r>
    <r>
      <rPr>
        <sz val="11"/>
        <color theme="1"/>
        <rFont val="Calibri"/>
        <family val="2"/>
        <scheme val="minor"/>
      </rPr>
      <t xml:space="preserve"> scenario</t>
    </r>
  </si>
  <si>
    <t>&gt;</t>
  </si>
  <si>
    <t>internal target</t>
  </si>
  <si>
    <t>scenario</t>
  </si>
  <si>
    <t>variable</t>
  </si>
  <si>
    <t>base scenario</t>
  </si>
  <si>
    <t>base scenario MCT</t>
  </si>
  <si>
    <t>assets</t>
  </si>
  <si>
    <t>internal target MCT</t>
  </si>
  <si>
    <t>liabilities</t>
  </si>
  <si>
    <t>satisfies condition:</t>
  </si>
  <si>
    <t>&lt;========</t>
  </si>
  <si>
    <t>PASS</t>
  </si>
  <si>
    <t>going-concern scenario</t>
  </si>
  <si>
    <t>Step 1b</t>
  </si>
  <si>
    <r>
      <t xml:space="preserve"> check condition on </t>
    </r>
    <r>
      <rPr>
        <u/>
        <sz val="11"/>
        <color theme="1"/>
        <rFont val="Calibri"/>
        <family val="2"/>
        <scheme val="minor"/>
      </rPr>
      <t xml:space="preserve">going-concern </t>
    </r>
    <r>
      <rPr>
        <sz val="11"/>
        <color theme="1"/>
        <rFont val="Calibri"/>
        <family val="2"/>
        <scheme val="minor"/>
      </rPr>
      <t xml:space="preserve"> scenario</t>
    </r>
  </si>
  <si>
    <t>regulatory minimum</t>
  </si>
  <si>
    <t>solvency scenario #1</t>
  </si>
  <si>
    <t>going-concern scenario MCT</t>
  </si>
  <si>
    <t>solvency scenario #2</t>
  </si>
  <si>
    <t>regulatory minimum MCT</t>
  </si>
  <si>
    <t xml:space="preserve"> ==&gt; catastrophe - stock market crash</t>
  </si>
  <si>
    <t>Identify 2 potential ripple effects from the solvency scenarios.</t>
  </si>
  <si>
    <t>Step 1c</t>
  </si>
  <si>
    <r>
      <t xml:space="preserve"> check condition on </t>
    </r>
    <r>
      <rPr>
        <u/>
        <sz val="11"/>
        <color theme="1"/>
        <rFont val="Calibri"/>
        <family val="2"/>
        <scheme val="minor"/>
      </rPr>
      <t xml:space="preserve">solvency </t>
    </r>
    <r>
      <rPr>
        <sz val="11"/>
        <color theme="1"/>
        <rFont val="Calibri"/>
        <family val="2"/>
        <scheme val="minor"/>
      </rPr>
      <t xml:space="preserve"> scenario #1</t>
    </r>
  </si>
  <si>
    <t>Identify 2 potential corrective management actions to address to mitigate the effects of the solvency scenarios.</t>
  </si>
  <si>
    <t>Step 1d</t>
  </si>
  <si>
    <r>
      <t xml:space="preserve"> check condition on </t>
    </r>
    <r>
      <rPr>
        <u/>
        <sz val="11"/>
        <color theme="1"/>
        <rFont val="Calibri"/>
        <family val="2"/>
        <scheme val="minor"/>
      </rPr>
      <t xml:space="preserve">solvency </t>
    </r>
    <r>
      <rPr>
        <sz val="11"/>
        <color theme="1"/>
        <rFont val="Calibri"/>
        <family val="2"/>
        <scheme val="minor"/>
      </rPr>
      <t xml:space="preserve"> scenario #2</t>
    </r>
  </si>
  <si>
    <t>Step 2</t>
  </si>
  <si>
    <t xml:space="preserve"> assess the results of step 1</t>
  </si>
  <si>
    <t>This insurer</t>
  </si>
  <si>
    <t>in satisfactory financial condition</t>
  </si>
  <si>
    <r>
      <t xml:space="preserve">ripple effect for stock market crash: </t>
    </r>
    <r>
      <rPr>
        <i/>
        <sz val="11"/>
        <color theme="1"/>
        <rFont val="Calibri"/>
        <family val="2"/>
        <scheme val="minor"/>
      </rPr>
      <t>(many answers possible)</t>
    </r>
  </si>
  <si>
    <t xml:space="preserve"> - forced sale or liquidation</t>
  </si>
  <si>
    <r>
      <t xml:space="preserve">corrective management action for stock market crash: </t>
    </r>
    <r>
      <rPr>
        <i/>
        <sz val="11"/>
        <color theme="1"/>
        <rFont val="Calibri"/>
        <family val="2"/>
        <scheme val="minor"/>
      </rPr>
      <t>(many answers possible)</t>
    </r>
  </si>
  <si>
    <t xml:space="preserve"> - sell assets</t>
  </si>
  <si>
    <t xml:space="preserve"> &lt;== years</t>
  </si>
  <si>
    <t xml:space="preserve"> ==&gt; normal winter storm</t>
  </si>
  <si>
    <t xml:space="preserve"> ==&gt; catastrophe - hurricane</t>
  </si>
  <si>
    <t>fail</t>
  </si>
  <si>
    <t>is not</t>
  </si>
  <si>
    <r>
      <t xml:space="preserve">ripple effect for hurricane: </t>
    </r>
    <r>
      <rPr>
        <i/>
        <sz val="11"/>
        <color theme="1"/>
        <rFont val="Calibri"/>
        <family val="2"/>
        <scheme val="minor"/>
      </rPr>
      <t>(many answers possible)</t>
    </r>
  </si>
  <si>
    <t xml:space="preserve"> - loss of reinsurance due to high ceded losses from hurricance</t>
  </si>
  <si>
    <r>
      <t xml:space="preserve">corrective management action for hurricance: </t>
    </r>
    <r>
      <rPr>
        <i/>
        <sz val="11"/>
        <color theme="1"/>
        <rFont val="Calibri"/>
        <family val="2"/>
        <scheme val="minor"/>
      </rPr>
      <t>(many answers possible)</t>
    </r>
  </si>
  <si>
    <t xml:space="preserve"> - reevaluate reinsurance needs and/or seek another reinsurer</t>
  </si>
  <si>
    <t xml:space="preserve"> - a measure of an insurer's financial strength (includes a component for catastrophes)</t>
  </si>
  <si>
    <t xml:space="preserve"> - an insurer is then assigned 1 of 6 ratings based on it's standard score</t>
  </si>
  <si>
    <t xml:space="preserve">   (strongest, very strong, strong, adequate, weak, very weak)</t>
  </si>
  <si>
    <t>Describe the 'standard' BCAR score according to Best's Capital Adequacy Ratio test.</t>
  </si>
  <si>
    <r>
      <t xml:space="preserve">Suppose insurer A and B both have a Best rating of </t>
    </r>
    <r>
      <rPr>
        <b/>
        <sz val="11"/>
        <color theme="1"/>
        <rFont val="Calibri"/>
        <family val="2"/>
        <scheme val="minor"/>
      </rPr>
      <t>strong</t>
    </r>
    <r>
      <rPr>
        <sz val="11"/>
        <color theme="1"/>
        <rFont val="Calibri"/>
        <family val="2"/>
        <scheme val="minor"/>
      </rPr>
      <t xml:space="preserve"> based on their </t>
    </r>
    <r>
      <rPr>
        <b/>
        <sz val="11"/>
        <color theme="1"/>
        <rFont val="Calibri"/>
        <family val="2"/>
        <scheme val="minor"/>
      </rPr>
      <t>standard</t>
    </r>
    <r>
      <rPr>
        <sz val="11"/>
        <color theme="1"/>
        <rFont val="Calibri"/>
        <family val="2"/>
        <scheme val="minor"/>
      </rPr>
      <t xml:space="preserve"> BCAR scores.</t>
    </r>
  </si>
  <si>
    <r>
      <rPr>
        <b/>
        <sz val="11"/>
        <color theme="1"/>
        <rFont val="Calibri"/>
        <family val="2"/>
        <scheme val="minor"/>
      </rPr>
      <t>stressed</t>
    </r>
    <r>
      <rPr>
        <sz val="11"/>
        <color theme="1"/>
        <rFont val="Calibri"/>
        <family val="2"/>
        <scheme val="minor"/>
      </rPr>
      <t xml:space="preserve"> BCAR score of </t>
    </r>
    <r>
      <rPr>
        <b/>
        <sz val="11"/>
        <color theme="1"/>
        <rFont val="Calibri"/>
        <family val="2"/>
        <scheme val="minor"/>
      </rPr>
      <t>adequate.</t>
    </r>
  </si>
  <si>
    <t xml:space="preserve">    Insurer A:</t>
  </si>
  <si>
    <t xml:space="preserve">    Insurer B:</t>
  </si>
  <si>
    <t xml:space="preserve">    operating results</t>
  </si>
  <si>
    <t xml:space="preserve"> - well-established, experienced 2 moderate catastrophes in the last 18 years with only small swings in</t>
  </si>
  <si>
    <t xml:space="preserve"> - relatively young company, never experienced a catastrophe, large swings in operating results</t>
  </si>
  <si>
    <r>
      <t xml:space="preserve">Given the information below, </t>
    </r>
    <r>
      <rPr>
        <u/>
        <sz val="11"/>
        <color theme="1"/>
        <rFont val="Calibri"/>
        <family val="2"/>
        <scheme val="minor"/>
      </rPr>
      <t>fully explain</t>
    </r>
    <r>
      <rPr>
        <sz val="11"/>
        <color theme="1"/>
        <rFont val="Calibri"/>
        <family val="2"/>
        <scheme val="minor"/>
      </rPr>
      <t xml:space="preserve"> which insurer is likely to keep it's rating, which is likely to have it lowered based on a</t>
    </r>
  </si>
  <si>
    <t xml:space="preserve"> - Insurer A is likely to have its rating lowered because of inexperienced risk</t>
  </si>
  <si>
    <t xml:space="preserve">    management and historical volatility</t>
  </si>
  <si>
    <t xml:space="preserve"> - Insurer B will likely keep its rating because of proven cat management ability</t>
  </si>
  <si>
    <t xml:space="preserve">    and consistency in operating results</t>
  </si>
  <si>
    <t>Calculate the excess (deficiency) amount for CY 2024.</t>
  </si>
  <si>
    <t>investment yield:</t>
  </si>
  <si>
    <t>paid in</t>
  </si>
  <si>
    <t>average(</t>
  </si>
  <si>
    <t>excess amount</t>
  </si>
  <si>
    <t>[ U(beg) - U(end) - Pd(All) + ii ]</t>
  </si>
  <si>
    <t>Let's first reorganize the given information into triangles to make it (hopefully) easier to understand.</t>
  </si>
  <si>
    <t>paid loss during CY</t>
  </si>
  <si>
    <t>discounted UCAE (including PfAD) at END of CY</t>
  </si>
  <si>
    <t>AY / CY</t>
  </si>
  <si>
    <t>ii</t>
  </si>
  <si>
    <r>
      <t xml:space="preserve">  </t>
    </r>
    <r>
      <rPr>
        <i/>
        <sz val="11"/>
        <color rgb="FFFF0000"/>
        <rFont val="Calibri"/>
        <family val="2"/>
        <scheme val="minor"/>
      </rPr>
      <t>cannot be calculated for the most current AY / CY combination: set = 0 by definition</t>
    </r>
  </si>
  <si>
    <t xml:space="preserve">total for all AYs = </t>
  </si>
  <si>
    <r>
      <rPr>
        <u/>
        <sz val="11"/>
        <color theme="1"/>
        <rFont val="Calibri"/>
        <family val="2"/>
        <scheme val="minor"/>
      </rPr>
      <t>Similarly</t>
    </r>
    <r>
      <rPr>
        <sz val="11"/>
        <color theme="1"/>
        <rFont val="Calibri"/>
        <family val="2"/>
        <scheme val="minor"/>
      </rPr>
      <t>:</t>
    </r>
  </si>
  <si>
    <r>
      <rPr>
        <i/>
        <sz val="11"/>
        <color rgb="FFFF0000"/>
        <rFont val="Calibri"/>
        <family val="2"/>
        <scheme val="minor"/>
      </rPr>
      <t>final answer</t>
    </r>
    <r>
      <rPr>
        <sz val="11"/>
        <color rgb="FFFF0000"/>
        <rFont val="Calibri"/>
        <family val="2"/>
        <scheme val="minor"/>
      </rPr>
      <t xml:space="preserve"> ==&gt;  </t>
    </r>
  </si>
  <si>
    <t>Define the concept of 'onerous contract' under IFRS 17.</t>
  </si>
  <si>
    <t>Calculate the IFRS-17 Discount Rate (DR) using a bottom-up and top-down approach.</t>
  </si>
  <si>
    <t>DR</t>
  </si>
  <si>
    <t>risk-free rate</t>
  </si>
  <si>
    <t>liquidity premium</t>
  </si>
  <si>
    <t>reference portfolio rate</t>
  </si>
  <si>
    <t xml:space="preserve"> top-down approach</t>
  </si>
  <si>
    <t>credit risk adjustment</t>
  </si>
  <si>
    <t>market risk adjustment</t>
  </si>
  <si>
    <t>reference portfolio</t>
  </si>
  <si>
    <t>credit risk adj.</t>
  </si>
  <si>
    <t>market risk adj.</t>
  </si>
  <si>
    <t>Step 1</t>
  </si>
  <si>
    <t xml:space="preserve"> bottom up approach</t>
  </si>
  <si>
    <t>An insurance contract is onerous at the date of initial recognition if there is</t>
  </si>
  <si>
    <t xml:space="preserve"> - FCFs (Fulfilment Cash Flows)</t>
  </si>
  <si>
    <t xml:space="preserve"> - acquisition cash flows</t>
  </si>
  <si>
    <t xml:space="preserve"> - cash flows arising from the contract at the date of initial recognition</t>
  </si>
  <si>
    <r>
      <t xml:space="preserve">a total </t>
    </r>
    <r>
      <rPr>
        <u/>
        <sz val="11"/>
        <color theme="1"/>
        <rFont val="Calibri"/>
        <family val="2"/>
        <scheme val="minor"/>
      </rPr>
      <t>net outflow</t>
    </r>
    <r>
      <rPr>
        <sz val="11"/>
        <color theme="1"/>
        <rFont val="Calibri"/>
        <family val="2"/>
        <scheme val="minor"/>
      </rPr>
      <t xml:space="preserve"> for the sum of:</t>
    </r>
  </si>
  <si>
    <t>Based on IFRS 17, how shall an entity, at minimum, divide a portfolio into groups</t>
  </si>
  <si>
    <t xml:space="preserve"> - a group that is onerous at initial recognition (if any)</t>
  </si>
  <si>
    <t xml:space="preserve"> - a group that has no significant possibility of becoming onerous (if any)</t>
  </si>
  <si>
    <t xml:space="preserve"> - a group of any remaining contracts (if any)</t>
  </si>
  <si>
    <t>(There can be more than 3 groups but these are the minimum, if applicable.)</t>
  </si>
  <si>
    <t>mechanisms under IFRS 17</t>
  </si>
  <si>
    <t>Briefly describe the accounting treatment for each of FA's residual market</t>
  </si>
  <si>
    <t xml:space="preserve"> - member companies account for their share of FARM and UAF insurance contracts as direct business</t>
  </si>
  <si>
    <t>FARM &amp; UAF:</t>
  </si>
  <si>
    <t>RSPs:</t>
  </si>
  <si>
    <t xml:space="preserve"> - member companies use reinsurance accounting where the "reinsurer" is the collective FA membership</t>
  </si>
  <si>
    <t xml:space="preserve"> insurance revenue</t>
  </si>
  <si>
    <t>revenue recognized under PAA</t>
  </si>
  <si>
    <t>premium</t>
  </si>
  <si>
    <t>coverage period</t>
  </si>
  <si>
    <t>LRC using PAA at the end of year 1</t>
  </si>
  <si>
    <t>total insurance revenue</t>
  </si>
  <si>
    <t>year(s)</t>
  </si>
  <si>
    <t xml:space="preserve"> insurance service expenses</t>
  </si>
  <si>
    <t>details of cash flows</t>
  </si>
  <si>
    <t>(insurance acquistion cash flows)</t>
  </si>
  <si>
    <t>expected premiums</t>
  </si>
  <si>
    <t>received at inception</t>
  </si>
  <si>
    <t>directly attributable acquisition expenses</t>
  </si>
  <si>
    <t>paid at inception</t>
  </si>
  <si>
    <t>directly attributable maintenance expenses</t>
  </si>
  <si>
    <t>Incurred in year 1</t>
  </si>
  <si>
    <t>(incurred claims, excluding investment components, and other</t>
  </si>
  <si>
    <t>NON-DIRECTLY attributable acquisition expenses</t>
  </si>
  <si>
    <t xml:space="preserve"> incurred insurance service expenses)</t>
  </si>
  <si>
    <t>NON-DIRECTLY attributable maintenance expenses</t>
  </si>
  <si>
    <t>per year</t>
  </si>
  <si>
    <t>total insurance service expenses</t>
  </si>
  <si>
    <t>further assumptions</t>
  </si>
  <si>
    <t>no claims are incurred in year 1</t>
  </si>
  <si>
    <t>(i) - (ii)</t>
  </si>
  <si>
    <t xml:space="preserve"> insurance service result</t>
  </si>
  <si>
    <t>insurance revenue</t>
  </si>
  <si>
    <t>expected premium receipts are allocated on the basis of the passage of time</t>
  </si>
  <si>
    <t>acquisition costs are deferred &amp; amortized over the coverage period of</t>
  </si>
  <si>
    <r>
      <t xml:space="preserve"> </t>
    </r>
    <r>
      <rPr>
        <sz val="11"/>
        <color rgb="FFFF0000"/>
        <rFont val="Calibri"/>
        <family val="2"/>
        <scheme val="minor"/>
      </rPr>
      <t>&lt;==</t>
    </r>
    <r>
      <rPr>
        <i/>
        <sz val="11"/>
        <color rgb="FFFF0000"/>
        <rFont val="Calibri"/>
        <family val="2"/>
        <scheme val="minor"/>
      </rPr>
      <t xml:space="preserve"> final answer to part (a)</t>
    </r>
  </si>
  <si>
    <t>there is no discounting</t>
  </si>
  <si>
    <r>
      <t xml:space="preserve"> to find profit / loss, we need to first calculate </t>
    </r>
    <r>
      <rPr>
        <b/>
        <u/>
        <sz val="11"/>
        <color theme="1"/>
        <rFont val="Calibri"/>
        <family val="2"/>
        <scheme val="minor"/>
      </rPr>
      <t>other expenses</t>
    </r>
  </si>
  <si>
    <t>total other expenses</t>
  </si>
  <si>
    <t>then</t>
  </si>
  <si>
    <t xml:space="preserve"> profit / loss</t>
  </si>
  <si>
    <t xml:space="preserve"> - </t>
  </si>
  <si>
    <r>
      <t xml:space="preserve"> </t>
    </r>
    <r>
      <rPr>
        <sz val="11"/>
        <color rgb="FFFF0000"/>
        <rFont val="Calibri"/>
        <family val="2"/>
        <scheme val="minor"/>
      </rPr>
      <t>&lt;==</t>
    </r>
    <r>
      <rPr>
        <i/>
        <sz val="11"/>
        <color rgb="FFFF0000"/>
        <rFont val="Calibri"/>
        <family val="2"/>
        <scheme val="minor"/>
      </rPr>
      <t xml:space="preserve"> final answer to part (b)</t>
    </r>
  </si>
  <si>
    <t xml:space="preserve">LRC  = </t>
  </si>
  <si>
    <t>carrying amount at start of reporting period</t>
  </si>
  <si>
    <t>premiums received in period</t>
  </si>
  <si>
    <t>insurance acquisition cash flows</t>
  </si>
  <si>
    <t>amortization of insurance acquisition cash flows recognized as an expense in the reporting period</t>
  </si>
  <si>
    <t>adjustments to a financing component</t>
  </si>
  <si>
    <t>insurance revenue (for insurance contract services provided in that period)</t>
  </si>
  <si>
    <t>investment componenst paid/transferred to LIC</t>
  </si>
  <si>
    <t>&lt;====</t>
  </si>
  <si>
    <t>at the start of year 1 there is no carrying amount yet</t>
  </si>
  <si>
    <t>expected premiums paid at inception (GIVEN)</t>
  </si>
  <si>
    <t>directly attributable acquisition expenses (GIVEN)</t>
  </si>
  <si>
    <t>directly attributable acquisition expenses (AMORTIZED - see part (a)(ii) above)</t>
  </si>
  <si>
    <r>
      <t xml:space="preserve">assume 0 because </t>
    </r>
    <r>
      <rPr>
        <i/>
        <u/>
        <sz val="11"/>
        <color rgb="FF00B050"/>
        <rFont val="Calibri"/>
        <family val="2"/>
        <scheme val="minor"/>
      </rPr>
      <t>no information</t>
    </r>
    <r>
      <rPr>
        <i/>
        <sz val="11"/>
        <color rgb="FF00B050"/>
        <rFont val="Calibri"/>
        <family val="2"/>
        <scheme val="minor"/>
      </rPr>
      <t xml:space="preserve"> was provided</t>
    </r>
  </si>
  <si>
    <t>amortization of insurance revenue (see part (a)(i) above)</t>
  </si>
  <si>
    <r>
      <t xml:space="preserve">assume 0 because </t>
    </r>
    <r>
      <rPr>
        <i/>
        <u/>
        <sz val="11"/>
        <color rgb="FFFF0000"/>
        <rFont val="Calibri"/>
        <family val="2"/>
        <scheme val="minor"/>
      </rPr>
      <t>no information</t>
    </r>
    <r>
      <rPr>
        <i/>
        <sz val="11"/>
        <color rgb="FFFF0000"/>
        <rFont val="Calibri"/>
        <family val="2"/>
        <scheme val="minor"/>
      </rPr>
      <t xml:space="preserve"> was provided</t>
    </r>
  </si>
  <si>
    <r>
      <t xml:space="preserve"> </t>
    </r>
    <r>
      <rPr>
        <sz val="11"/>
        <color rgb="FFFF0000"/>
        <rFont val="Calibri"/>
        <family val="2"/>
        <scheme val="minor"/>
      </rPr>
      <t>&lt;==</t>
    </r>
    <r>
      <rPr>
        <i/>
        <sz val="11"/>
        <color rgb="FFFF0000"/>
        <rFont val="Calibri"/>
        <family val="2"/>
        <scheme val="minor"/>
      </rPr>
      <t xml:space="preserve"> final answer to part (c)</t>
    </r>
  </si>
  <si>
    <t xml:space="preserve"> calculate the insurance service result for year 1:</t>
  </si>
  <si>
    <t>DESCRIPTION</t>
  </si>
  <si>
    <t>AMOUNT</t>
  </si>
  <si>
    <t>OTHER INFO</t>
  </si>
  <si>
    <t>Calculate the indicated quantities for the given group of insurance contracts at the end of year 1 using PAA.</t>
  </si>
  <si>
    <t>Profit /loss for year 1</t>
  </si>
  <si>
    <t>Insurance service result for year 1</t>
  </si>
  <si>
    <t>Here is the required information:</t>
  </si>
  <si>
    <t>in FARM (Facility Association Residual Market) and the RSPs (Risk-Sharing Pools).</t>
  </si>
  <si>
    <t>Briefly describe admission of a risk to the program is treated differently</t>
  </si>
  <si>
    <t xml:space="preserve"> - use U/W rules of ceding company</t>
  </si>
  <si>
    <t>FARM:</t>
  </si>
  <si>
    <t xml:space="preserve"> - only if agent/broker can't place risk with voluntary company</t>
  </si>
  <si>
    <t>This is a subsequent event since the AA became aware of it before the report date but after the calculation date.</t>
  </si>
  <si>
    <t>The report date is February 24, 2022.</t>
  </si>
  <si>
    <t xml:space="preserve">The AA should consider the change in value and the IBNR. </t>
  </si>
  <si>
    <t>If IBNR is sufficient, it is the nature of the business so no further action needs to be taken.</t>
  </si>
  <si>
    <t>For each of the following scenarios, identify whether it is a subsequent event and justify the actions</t>
  </si>
  <si>
    <t>If IBNR is insufficient, the AA should disclose the impact of the change in the report.</t>
  </si>
  <si>
    <t>that the AA should take.</t>
  </si>
  <si>
    <t>The AA was notified on February 20, 2022 that some previously reported losses as of December 31, 2021,</t>
  </si>
  <si>
    <t>experienced a large change in value, and the change in value is in excess of the standard of materiality.</t>
  </si>
  <si>
    <t>This is a subsequent event.</t>
  </si>
  <si>
    <t>Since the event makes the entity different, it is an adjusting event. The AA should reflect the event in the report.</t>
  </si>
  <si>
    <t>Court has settled a claim on January 20, 2022 which will retroactively impact all bodily injury claim amounts</t>
  </si>
  <si>
    <t>deductible on physical damage</t>
  </si>
  <si>
    <t>min (LOC ,  30% x (UEP + O/S Recov)</t>
  </si>
  <si>
    <t>Yes this is allowed. There is no barrier to offer a discount for combined policies and it is justified by historical loss experience</t>
  </si>
  <si>
    <t>Yes it is allowed. There is more risk associated with the use of a vehicle for mercantile activities</t>
  </si>
  <si>
    <t>Two arguments against:</t>
  </si>
  <si>
    <t>- Use of credit is discriminatory to various groups (e.g. young drivers, recent immigrants, elderly, etc)</t>
  </si>
  <si>
    <t>Actuaries need to review relativities to ensure they are still in line with expected losses.</t>
  </si>
  <si>
    <t>- Split basic and excess coverage since excess coverage is more volatile</t>
  </si>
  <si>
    <t>each feature could affect the existence or extent of a risk transfer.</t>
  </si>
  <si>
    <t>- The investments generate a healthy yield despite the low interest rate environment in the past year. We should continue monitoring the performance of the investment portfolio</t>
  </si>
  <si>
    <t>- Net UW leverage ratio is also at a reasonable level, below the maximum threshold of 300%</t>
  </si>
  <si>
    <t>Use the given net leverage ratio to find the unpaid claims and adjustment expenses recoverable</t>
  </si>
  <si>
    <t>Each company determines its own potential risks and the capital it should hold for each of them. An insurer should set its own internal capital ratio</t>
  </si>
  <si>
    <t>- ORSA allows for a better qualitative assessment of risk, whereas MCT is only quantitative</t>
  </si>
  <si>
    <t>- ORSA includes assessment of internal controls to allow for better management of the business</t>
  </si>
  <si>
    <t>Insurer can benefit from favorable loss development</t>
  </si>
  <si>
    <t>Employment insurance is an industry mechanism. Some classes of workers only work part of the year. Not having employment insurance would impair the economy.</t>
  </si>
  <si>
    <t>The AA of an insurance company is valuing the policy liabilities as at December 31, 2021.</t>
  </si>
  <si>
    <t>No it is prohibited. In this case, the insurer cannot use type of employment to raise rates.</t>
  </si>
  <si>
    <t>A 25-year-man has started a job as a "motorman" on an oil rig. Since this is a high-risk profression,</t>
  </si>
  <si>
    <t>the employee's personal auto insurance provider has raised his rates by 20%.</t>
  </si>
  <si>
    <t>ER</t>
  </si>
  <si>
    <t>EPR</t>
  </si>
  <si>
    <t>calculate the company's margin required for earthquake risk at target as at December 31, 2021.</t>
  </si>
  <si>
    <r>
      <t xml:space="preserve">Assuming the Earthquake Premium Reserve (EPR) included in financial resources is   </t>
    </r>
    <r>
      <rPr>
        <b/>
        <sz val="11"/>
        <color theme="1"/>
        <rFont val="Calibri"/>
        <family val="2"/>
        <scheme val="minor"/>
      </rPr>
      <t>====&gt;</t>
    </r>
  </si>
  <si>
    <t xml:space="preserve">  &lt;== final answer</t>
  </si>
  <si>
    <t>Provide 1 example of type of coverage for each of the 4 reasons listed in part a.</t>
  </si>
  <si>
    <t>Other answers are possible:</t>
  </si>
  <si>
    <t xml:space="preserve">  Example:</t>
  </si>
  <si>
    <t>terrorism insurance</t>
  </si>
  <si>
    <t>personal auto insurance</t>
  </si>
  <si>
    <t>flood insurance</t>
  </si>
  <si>
    <t>medical coverage</t>
  </si>
  <si>
    <t>of the Audit Committee.</t>
  </si>
  <si>
    <r>
      <t xml:space="preserve">Compare and contrast the role of the </t>
    </r>
    <r>
      <rPr>
        <b/>
        <sz val="11"/>
        <color theme="1"/>
        <rFont val="Calibri"/>
        <family val="2"/>
        <scheme val="minor"/>
      </rPr>
      <t>Appointed Actuary</t>
    </r>
    <r>
      <rPr>
        <sz val="11"/>
        <color theme="1"/>
        <rFont val="Calibri"/>
        <family val="2"/>
        <scheme val="minor"/>
      </rPr>
      <t xml:space="preserve"> to the role of the Board of Directors and</t>
    </r>
  </si>
  <si>
    <t>Vicarious Liability</t>
  </si>
  <si>
    <t>Vicarious Liability: where one person is held responsible for the actions of another</t>
  </si>
  <si>
    <t>than the employee, or the person who rents the car.</t>
  </si>
  <si>
    <t>It is plaintiff-friendly because for example the employer, or car rental agency, likely has deeper pockets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</si>
</sst>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0.0000"/>
    <numFmt numFmtId="168" formatCode="#,##0.00_);\(#,##0.00\);\–_);&quot;–&quot;_)"/>
    <numFmt numFmtId="169" formatCode="#,##0_);\(#,##0\);\–_);&quot;–&quot;_)"/>
    <numFmt numFmtId="170" formatCode="#,##0.0"/>
    <numFmt numFmtId="171" formatCode="_-&quot;$&quot;* #,##0_-;\-&quot;$&quot;* #,##0_-;_-&quot;$&quot;* &quot;-&quot;??_-;_-@_-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Roboto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u/>
      <sz val="11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rgb="FF222222"/>
      <name val="Calibri"/>
      <family val="2"/>
      <scheme val="minor"/>
    </font>
    <font>
      <i/>
      <sz val="11"/>
      <color rgb="FF222222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i/>
      <sz val="11"/>
      <color rgb="FF00B050"/>
      <name val="Calibri"/>
      <family val="2"/>
      <scheme val="minor"/>
    </font>
    <font>
      <i/>
      <u/>
      <sz val="11"/>
      <color rgb="FF00B050"/>
      <name val="Calibri"/>
      <family val="2"/>
      <scheme val="minor"/>
    </font>
    <font>
      <i/>
      <u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rgb="FF0070C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4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9" fillId="5" borderId="0" applyNumberFormat="0" applyBorder="0" applyAlignment="0" applyProtection="0"/>
    <xf numFmtId="0" fontId="20" fillId="6" borderId="0" applyNumberFormat="0" applyBorder="0" applyAlignment="0" applyProtection="0"/>
    <xf numFmtId="0" fontId="1" fillId="7" borderId="0" applyNumberFormat="0" applyBorder="0" applyAlignment="0" applyProtection="0"/>
  </cellStyleXfs>
  <cellXfs count="47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3" borderId="1" xfId="0" applyFont="1" applyFill="1" applyBorder="1" applyAlignment="1" applyProtection="1">
      <alignment horizontal="center"/>
      <protection locked="0"/>
    </xf>
    <xf numFmtId="165" fontId="2" fillId="0" borderId="0" xfId="1" applyNumberFormat="1" applyFont="1" applyAlignment="1">
      <alignment horizontal="center"/>
    </xf>
    <xf numFmtId="0" fontId="2" fillId="2" borderId="2" xfId="0" applyFont="1" applyFill="1" applyBorder="1" applyAlignment="1" applyProtection="1">
      <alignment horizontal="center"/>
    </xf>
    <xf numFmtId="0" fontId="4" fillId="2" borderId="5" xfId="0" applyFont="1" applyFill="1" applyBorder="1" applyAlignment="1" applyProtection="1">
      <alignment horizontal="center"/>
    </xf>
    <xf numFmtId="0" fontId="5" fillId="2" borderId="5" xfId="0" applyFont="1" applyFill="1" applyBorder="1" applyAlignment="1" applyProtection="1">
      <alignment horizontal="center"/>
    </xf>
    <xf numFmtId="0" fontId="0" fillId="0" borderId="9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8" fillId="0" borderId="9" xfId="2" applyBorder="1" applyAlignment="1">
      <alignment horizontal="center"/>
    </xf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0" fillId="0" borderId="11" xfId="0" applyFont="1" applyBorder="1" applyAlignment="1">
      <alignment horizontal="left"/>
    </xf>
    <xf numFmtId="0" fontId="0" fillId="0" borderId="12" xfId="0" applyFont="1" applyFill="1" applyBorder="1" applyAlignment="1">
      <alignment horizontal="left"/>
    </xf>
    <xf numFmtId="2" fontId="0" fillId="0" borderId="10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0" fontId="0" fillId="2" borderId="0" xfId="0" applyFont="1" applyFill="1" applyBorder="1" applyProtection="1"/>
    <xf numFmtId="0" fontId="0" fillId="2" borderId="3" xfId="0" applyFont="1" applyFill="1" applyBorder="1" applyProtection="1"/>
    <xf numFmtId="0" fontId="0" fillId="0" borderId="0" xfId="0" applyFont="1" applyProtection="1">
      <protection locked="0"/>
    </xf>
    <xf numFmtId="0" fontId="0" fillId="2" borderId="5" xfId="0" applyFont="1" applyFill="1" applyBorder="1" applyProtection="1"/>
    <xf numFmtId="0" fontId="0" fillId="2" borderId="6" xfId="0" applyFont="1" applyFill="1" applyBorder="1" applyProtection="1"/>
    <xf numFmtId="0" fontId="0" fillId="2" borderId="7" xfId="0" applyFont="1" applyFill="1" applyBorder="1" applyProtection="1"/>
    <xf numFmtId="0" fontId="0" fillId="2" borderId="8" xfId="0" applyFont="1" applyFill="1" applyBorder="1" applyProtection="1"/>
    <xf numFmtId="0" fontId="0" fillId="2" borderId="5" xfId="0" applyFont="1" applyFill="1" applyBorder="1" applyAlignment="1" applyProtection="1">
      <alignment horizontal="center"/>
    </xf>
    <xf numFmtId="0" fontId="0" fillId="0" borderId="0" xfId="0" applyFont="1" applyFill="1" applyProtection="1">
      <protection locked="0"/>
    </xf>
    <xf numFmtId="0" fontId="0" fillId="2" borderId="0" xfId="0" applyFont="1" applyFill="1" applyProtection="1"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0" fillId="2" borderId="0" xfId="0" quotePrefix="1" applyFont="1" applyFill="1" applyBorder="1" applyProtection="1"/>
    <xf numFmtId="0" fontId="0" fillId="0" borderId="0" xfId="0" applyFont="1" applyBorder="1" applyProtection="1">
      <protection locked="0"/>
    </xf>
    <xf numFmtId="0" fontId="8" fillId="2" borderId="4" xfId="2" quotePrefix="1" applyFont="1" applyFill="1" applyBorder="1" applyAlignment="1" applyProtection="1">
      <alignment horizontal="right"/>
    </xf>
    <xf numFmtId="0" fontId="0" fillId="0" borderId="0" xfId="0" applyFont="1" applyFill="1" applyBorder="1" applyProtection="1"/>
    <xf numFmtId="2" fontId="0" fillId="0" borderId="9" xfId="0" applyNumberFormat="1" applyFill="1" applyBorder="1" applyAlignment="1">
      <alignment horizontal="center"/>
    </xf>
    <xf numFmtId="0" fontId="13" fillId="0" borderId="0" xfId="0" applyFont="1"/>
    <xf numFmtId="0" fontId="8" fillId="0" borderId="9" xfId="2" quotePrefix="1" applyFill="1" applyBorder="1" applyAlignment="1">
      <alignment horizontal="center"/>
    </xf>
    <xf numFmtId="0" fontId="15" fillId="0" borderId="0" xfId="0" applyFont="1"/>
    <xf numFmtId="0" fontId="15" fillId="0" borderId="0" xfId="0" applyFont="1" applyProtection="1">
      <protection locked="0"/>
    </xf>
    <xf numFmtId="0" fontId="15" fillId="0" borderId="0" xfId="0" applyFont="1" applyBorder="1" applyProtection="1">
      <protection locked="0"/>
    </xf>
    <xf numFmtId="0" fontId="8" fillId="0" borderId="9" xfId="2" applyFill="1" applyBorder="1" applyAlignment="1">
      <alignment horizontal="center"/>
    </xf>
    <xf numFmtId="0" fontId="2" fillId="2" borderId="6" xfId="0" applyFont="1" applyFill="1" applyBorder="1" applyProtection="1"/>
    <xf numFmtId="0" fontId="0" fillId="2" borderId="0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0" fillId="2" borderId="13" xfId="0" applyFont="1" applyFill="1" applyBorder="1" applyAlignment="1" applyProtection="1">
      <alignment horizontal="center" vertical="center"/>
    </xf>
    <xf numFmtId="9" fontId="0" fillId="2" borderId="13" xfId="1" applyFont="1" applyFill="1" applyBorder="1" applyAlignment="1" applyProtection="1">
      <alignment horizontal="center" vertical="center"/>
    </xf>
    <xf numFmtId="0" fontId="0" fillId="2" borderId="0" xfId="0" applyFill="1"/>
    <xf numFmtId="0" fontId="0" fillId="0" borderId="0" xfId="0" applyFont="1"/>
    <xf numFmtId="166" fontId="2" fillId="2" borderId="0" xfId="4" applyNumberFormat="1" applyFont="1" applyFill="1" applyBorder="1" applyProtection="1"/>
    <xf numFmtId="166" fontId="0" fillId="0" borderId="0" xfId="0" applyNumberFormat="1" applyFont="1" applyProtection="1">
      <protection locked="0"/>
    </xf>
    <xf numFmtId="0" fontId="0" fillId="2" borderId="6" xfId="0" applyFill="1" applyBorder="1"/>
    <xf numFmtId="0" fontId="0" fillId="0" borderId="0" xfId="0" applyProtection="1">
      <protection locked="0"/>
    </xf>
    <xf numFmtId="0" fontId="0" fillId="0" borderId="0" xfId="0" quotePrefix="1" applyProtection="1">
      <protection locked="0"/>
    </xf>
    <xf numFmtId="0" fontId="12" fillId="0" borderId="0" xfId="0" quotePrefix="1" applyFont="1" applyAlignment="1">
      <alignment vertical="top"/>
    </xf>
    <xf numFmtId="0" fontId="0" fillId="0" borderId="0" xfId="0" quotePrefix="1" applyAlignment="1">
      <alignment vertical="top"/>
    </xf>
    <xf numFmtId="0" fontId="0" fillId="0" borderId="0" xfId="0" applyAlignment="1">
      <alignment vertical="top"/>
    </xf>
    <xf numFmtId="0" fontId="12" fillId="0" borderId="0" xfId="0" applyFont="1" applyAlignment="1">
      <alignment vertical="top"/>
    </xf>
    <xf numFmtId="0" fontId="7" fillId="0" borderId="0" xfId="0" applyFont="1" applyAlignment="1">
      <alignment horizontal="center" vertical="center"/>
    </xf>
    <xf numFmtId="2" fontId="0" fillId="2" borderId="9" xfId="0" applyNumberFormat="1" applyFill="1" applyBorder="1" applyAlignment="1">
      <alignment horizontal="center"/>
    </xf>
    <xf numFmtId="0" fontId="0" fillId="0" borderId="0" xfId="0" quotePrefix="1"/>
    <xf numFmtId="0" fontId="0" fillId="2" borderId="15" xfId="0" applyFill="1" applyBorder="1"/>
    <xf numFmtId="0" fontId="0" fillId="2" borderId="16" xfId="0" applyFill="1" applyBorder="1"/>
    <xf numFmtId="0" fontId="0" fillId="2" borderId="21" xfId="0" applyFill="1" applyBorder="1"/>
    <xf numFmtId="0" fontId="0" fillId="2" borderId="14" xfId="0" applyFill="1" applyBorder="1"/>
    <xf numFmtId="0" fontId="0" fillId="2" borderId="17" xfId="0" applyFill="1" applyBorder="1"/>
    <xf numFmtId="168" fontId="0" fillId="0" borderId="0" xfId="0" applyNumberFormat="1"/>
    <xf numFmtId="0" fontId="0" fillId="2" borderId="19" xfId="0" applyFill="1" applyBorder="1"/>
    <xf numFmtId="0" fontId="0" fillId="2" borderId="18" xfId="0" applyFill="1" applyBorder="1"/>
    <xf numFmtId="0" fontId="0" fillId="2" borderId="12" xfId="0" applyFill="1" applyBorder="1"/>
    <xf numFmtId="0" fontId="0" fillId="2" borderId="0" xfId="0" applyFont="1" applyFill="1" applyBorder="1" applyProtection="1">
      <protection locked="0"/>
    </xf>
    <xf numFmtId="0" fontId="0" fillId="2" borderId="6" xfId="0" applyFont="1" applyFill="1" applyBorder="1" applyProtection="1">
      <protection locked="0"/>
    </xf>
    <xf numFmtId="0" fontId="0" fillId="0" borderId="0" xfId="0" applyFont="1" applyFill="1" applyBorder="1" applyProtection="1">
      <protection locked="0"/>
    </xf>
    <xf numFmtId="0" fontId="0" fillId="2" borderId="8" xfId="0" applyFont="1" applyFill="1" applyBorder="1" applyProtection="1">
      <protection locked="0"/>
    </xf>
    <xf numFmtId="0" fontId="13" fillId="0" borderId="0" xfId="0" applyFont="1" applyProtection="1">
      <protection locked="0"/>
    </xf>
    <xf numFmtId="0" fontId="0" fillId="2" borderId="0" xfId="0" applyFill="1" applyBorder="1"/>
    <xf numFmtId="169" fontId="0" fillId="0" borderId="0" xfId="0" applyNumberFormat="1"/>
    <xf numFmtId="0" fontId="0" fillId="2" borderId="5" xfId="0" applyFont="1" applyFill="1" applyBorder="1" applyProtection="1">
      <protection locked="0"/>
    </xf>
    <xf numFmtId="3" fontId="16" fillId="2" borderId="16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18" xfId="0" applyNumberFormat="1" applyFont="1" applyFill="1" applyBorder="1" applyAlignment="1">
      <alignment horizontal="center"/>
    </xf>
    <xf numFmtId="3" fontId="16" fillId="2" borderId="10" xfId="0" applyNumberFormat="1" applyFont="1" applyFill="1" applyBorder="1" applyAlignment="1">
      <alignment horizontal="center"/>
    </xf>
    <xf numFmtId="169" fontId="12" fillId="2" borderId="16" xfId="0" applyNumberFormat="1" applyFont="1" applyFill="1" applyBorder="1" applyAlignment="1">
      <alignment horizontal="right"/>
    </xf>
    <xf numFmtId="169" fontId="12" fillId="2" borderId="22" xfId="0" applyNumberFormat="1" applyFont="1" applyFill="1" applyBorder="1" applyAlignment="1">
      <alignment horizontal="right"/>
    </xf>
    <xf numFmtId="169" fontId="12" fillId="2" borderId="0" xfId="0" applyNumberFormat="1" applyFont="1" applyFill="1" applyBorder="1" applyAlignment="1">
      <alignment horizontal="right"/>
    </xf>
    <xf numFmtId="169" fontId="12" fillId="2" borderId="20" xfId="0" applyNumberFormat="1" applyFont="1" applyFill="1" applyBorder="1" applyAlignment="1">
      <alignment horizontal="right"/>
    </xf>
    <xf numFmtId="10" fontId="17" fillId="0" borderId="0" xfId="1" applyNumberFormat="1" applyFont="1"/>
    <xf numFmtId="0" fontId="12" fillId="2" borderId="0" xfId="0" applyFont="1" applyFill="1" applyBorder="1" applyAlignment="1">
      <alignment horizontal="right"/>
    </xf>
    <xf numFmtId="0" fontId="12" fillId="2" borderId="20" xfId="0" applyFont="1" applyFill="1" applyBorder="1" applyAlignment="1">
      <alignment horizontal="right"/>
    </xf>
    <xf numFmtId="3" fontId="12" fillId="2" borderId="16" xfId="0" applyNumberFormat="1" applyFont="1" applyFill="1" applyBorder="1" applyAlignment="1">
      <alignment horizontal="right"/>
    </xf>
    <xf numFmtId="9" fontId="17" fillId="0" borderId="0" xfId="1" applyFont="1"/>
    <xf numFmtId="169" fontId="12" fillId="2" borderId="18" xfId="0" applyNumberFormat="1" applyFont="1" applyFill="1" applyBorder="1" applyAlignment="1">
      <alignment horizontal="right"/>
    </xf>
    <xf numFmtId="169" fontId="12" fillId="2" borderId="10" xfId="0" applyNumberFormat="1" applyFont="1" applyFill="1" applyBorder="1" applyAlignment="1">
      <alignment horizontal="right"/>
    </xf>
    <xf numFmtId="3" fontId="12" fillId="2" borderId="0" xfId="0" applyNumberFormat="1" applyFont="1" applyFill="1" applyBorder="1" applyAlignment="1">
      <alignment horizontal="left"/>
    </xf>
    <xf numFmtId="3" fontId="12" fillId="2" borderId="0" xfId="0" applyNumberFormat="1" applyFont="1" applyFill="1" applyBorder="1" applyAlignment="1">
      <alignment horizontal="right"/>
    </xf>
    <xf numFmtId="9" fontId="0" fillId="2" borderId="0" xfId="0" applyNumberFormat="1" applyFill="1" applyBorder="1"/>
    <xf numFmtId="169" fontId="0" fillId="0" borderId="0" xfId="0" applyNumberFormat="1" applyProtection="1">
      <protection locked="0"/>
    </xf>
    <xf numFmtId="169" fontId="17" fillId="0" borderId="0" xfId="0" applyNumberFormat="1" applyFont="1"/>
    <xf numFmtId="0" fontId="0" fillId="0" borderId="0" xfId="0" quotePrefix="1" applyFont="1" applyProtection="1">
      <protection locked="0"/>
    </xf>
    <xf numFmtId="0" fontId="7" fillId="0" borderId="0" xfId="0" applyFont="1" applyProtection="1">
      <protection locked="0"/>
    </xf>
    <xf numFmtId="0" fontId="12" fillId="0" borderId="0" xfId="0" applyFont="1"/>
    <xf numFmtId="3" fontId="0" fillId="0" borderId="0" xfId="0" applyNumberFormat="1" applyFont="1" applyProtection="1">
      <protection locked="0"/>
    </xf>
    <xf numFmtId="166" fontId="0" fillId="0" borderId="0" xfId="4" applyNumberFormat="1" applyFont="1" applyProtection="1">
      <protection locked="0"/>
    </xf>
    <xf numFmtId="3" fontId="2" fillId="2" borderId="0" xfId="0" applyNumberFormat="1" applyFont="1" applyFill="1" applyBorder="1" applyProtection="1"/>
    <xf numFmtId="0" fontId="2" fillId="0" borderId="0" xfId="0" applyFont="1" applyProtection="1">
      <protection locked="0"/>
    </xf>
    <xf numFmtId="0" fontId="0" fillId="0" borderId="10" xfId="0" applyFont="1" applyBorder="1" applyAlignment="1" applyProtection="1">
      <alignment horizontal="center" vertical="center"/>
      <protection locked="0"/>
    </xf>
    <xf numFmtId="0" fontId="0" fillId="0" borderId="18" xfId="0" applyFont="1" applyBorder="1" applyProtection="1">
      <protection locked="0"/>
    </xf>
    <xf numFmtId="0" fontId="0" fillId="0" borderId="10" xfId="0" applyFont="1" applyBorder="1" applyProtection="1">
      <protection locked="0"/>
    </xf>
    <xf numFmtId="0" fontId="0" fillId="0" borderId="20" xfId="0" applyFont="1" applyBorder="1" applyProtection="1">
      <protection locked="0"/>
    </xf>
    <xf numFmtId="0" fontId="0" fillId="0" borderId="0" xfId="0" applyFont="1" applyAlignment="1" applyProtection="1">
      <alignment horizontal="center" vertical="center"/>
      <protection locked="0"/>
    </xf>
    <xf numFmtId="10" fontId="0" fillId="0" borderId="0" xfId="0" applyNumberFormat="1" applyFont="1" applyProtection="1">
      <protection locked="0"/>
    </xf>
    <xf numFmtId="0" fontId="2" fillId="2" borderId="0" xfId="0" applyFont="1" applyFill="1" applyBorder="1" applyProtection="1"/>
    <xf numFmtId="0" fontId="2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Alignment="1" applyProtection="1">
      <alignment horizontal="center" vertical="center"/>
    </xf>
    <xf numFmtId="0" fontId="0" fillId="2" borderId="15" xfId="0" applyFont="1" applyFill="1" applyBorder="1" applyAlignment="1" applyProtection="1">
      <alignment horizontal="center" vertical="center"/>
    </xf>
    <xf numFmtId="0" fontId="0" fillId="2" borderId="16" xfId="0" applyFont="1" applyFill="1" applyBorder="1" applyAlignment="1" applyProtection="1">
      <alignment horizontal="center" vertical="center"/>
    </xf>
    <xf numFmtId="0" fontId="0" fillId="2" borderId="14" xfId="0" applyFont="1" applyFill="1" applyBorder="1" applyAlignment="1" applyProtection="1">
      <alignment horizontal="center" vertical="center"/>
    </xf>
    <xf numFmtId="0" fontId="0" fillId="0" borderId="13" xfId="0" applyFont="1" applyBorder="1" applyAlignment="1" applyProtection="1">
      <alignment horizontal="center" vertical="center"/>
      <protection locked="0"/>
    </xf>
    <xf numFmtId="10" fontId="0" fillId="0" borderId="13" xfId="0" applyNumberFormat="1" applyFont="1" applyBorder="1" applyProtection="1">
      <protection locked="0"/>
    </xf>
    <xf numFmtId="167" fontId="0" fillId="0" borderId="13" xfId="0" applyNumberFormat="1" applyFont="1" applyBorder="1" applyProtection="1">
      <protection locked="0"/>
    </xf>
    <xf numFmtId="9" fontId="0" fillId="2" borderId="0" xfId="0" applyNumberFormat="1" applyFont="1" applyFill="1" applyBorder="1" applyProtection="1"/>
    <xf numFmtId="165" fontId="0" fillId="2" borderId="0" xfId="1" applyNumberFormat="1" applyFont="1" applyFill="1" applyBorder="1" applyProtection="1"/>
    <xf numFmtId="10" fontId="0" fillId="2" borderId="0" xfId="1" applyNumberFormat="1" applyFont="1" applyFill="1" applyBorder="1" applyProtection="1"/>
    <xf numFmtId="0" fontId="2" fillId="2" borderId="18" xfId="0" applyFont="1" applyFill="1" applyBorder="1" applyProtection="1"/>
    <xf numFmtId="0" fontId="2" fillId="2" borderId="19" xfId="0" applyFont="1" applyFill="1" applyBorder="1" applyProtection="1"/>
    <xf numFmtId="0" fontId="2" fillId="2" borderId="12" xfId="0" applyFont="1" applyFill="1" applyBorder="1" applyProtection="1"/>
    <xf numFmtId="166" fontId="0" fillId="2" borderId="14" xfId="4" applyNumberFormat="1" applyFont="1" applyFill="1" applyBorder="1" applyProtection="1"/>
    <xf numFmtId="166" fontId="0" fillId="2" borderId="17" xfId="4" applyNumberFormat="1" applyFont="1" applyFill="1" applyBorder="1" applyProtection="1"/>
    <xf numFmtId="166" fontId="0" fillId="2" borderId="14" xfId="4" applyNumberFormat="1" applyFont="1" applyFill="1" applyBorder="1" applyAlignment="1" applyProtection="1">
      <alignment horizontal="center" vertical="center"/>
    </xf>
    <xf numFmtId="166" fontId="2" fillId="2" borderId="14" xfId="4" applyNumberFormat="1" applyFont="1" applyFill="1" applyBorder="1" applyAlignment="1" applyProtection="1">
      <alignment horizontal="center" vertical="center"/>
    </xf>
    <xf numFmtId="0" fontId="0" fillId="2" borderId="14" xfId="0" applyFont="1" applyFill="1" applyBorder="1" applyProtection="1"/>
    <xf numFmtId="0" fontId="2" fillId="2" borderId="14" xfId="0" applyFont="1" applyFill="1" applyBorder="1" applyAlignment="1" applyProtection="1">
      <alignment horizontal="center" vertical="center"/>
    </xf>
    <xf numFmtId="166" fontId="0" fillId="2" borderId="15" xfId="4" applyNumberFormat="1" applyFont="1" applyFill="1" applyBorder="1" applyProtection="1"/>
    <xf numFmtId="166" fontId="0" fillId="2" borderId="17" xfId="4" applyNumberFormat="1" applyFont="1" applyFill="1" applyBorder="1" applyAlignment="1" applyProtection="1">
      <alignment horizontal="center" vertical="center"/>
    </xf>
    <xf numFmtId="0" fontId="0" fillId="2" borderId="17" xfId="0" applyFont="1" applyFill="1" applyBorder="1" applyAlignment="1" applyProtection="1">
      <alignment horizontal="center" vertical="center"/>
    </xf>
    <xf numFmtId="4" fontId="0" fillId="0" borderId="0" xfId="0" applyNumberFormat="1" applyFont="1" applyProtection="1">
      <protection locked="0"/>
    </xf>
    <xf numFmtId="0" fontId="0" fillId="0" borderId="16" xfId="0" applyFont="1" applyBorder="1" applyAlignment="1" applyProtection="1">
      <alignment horizontal="center"/>
      <protection locked="0"/>
    </xf>
    <xf numFmtId="0" fontId="0" fillId="0" borderId="16" xfId="0" applyFont="1" applyBorder="1" applyProtection="1">
      <protection locked="0"/>
    </xf>
    <xf numFmtId="4" fontId="0" fillId="0" borderId="16" xfId="0" applyNumberFormat="1" applyFont="1" applyBorder="1" applyProtection="1">
      <protection locked="0"/>
    </xf>
    <xf numFmtId="0" fontId="0" fillId="0" borderId="22" xfId="0" applyFont="1" applyBorder="1" applyProtection="1">
      <protection locked="0"/>
    </xf>
    <xf numFmtId="0" fontId="0" fillId="0" borderId="0" xfId="0" applyFont="1" applyBorder="1" applyAlignment="1" applyProtection="1">
      <alignment horizontal="center"/>
      <protection locked="0"/>
    </xf>
    <xf numFmtId="4" fontId="0" fillId="0" borderId="0" xfId="0" applyNumberFormat="1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0" fillId="0" borderId="18" xfId="0" applyFont="1" applyBorder="1" applyAlignment="1" applyProtection="1">
      <alignment horizontal="center"/>
      <protection locked="0"/>
    </xf>
    <xf numFmtId="4" fontId="0" fillId="0" borderId="18" xfId="0" applyNumberFormat="1" applyFont="1" applyBorder="1" applyProtection="1">
      <protection locked="0"/>
    </xf>
    <xf numFmtId="0" fontId="7" fillId="0" borderId="18" xfId="0" applyFont="1" applyBorder="1" applyProtection="1">
      <protection locked="0"/>
    </xf>
    <xf numFmtId="0" fontId="0" fillId="0" borderId="21" xfId="0" applyFont="1" applyBorder="1" applyAlignment="1" applyProtection="1">
      <alignment horizontal="center"/>
      <protection locked="0"/>
    </xf>
    <xf numFmtId="0" fontId="0" fillId="0" borderId="17" xfId="0" applyFont="1" applyBorder="1" applyAlignment="1" applyProtection="1">
      <alignment horizontal="center"/>
      <protection locked="0"/>
    </xf>
    <xf numFmtId="0" fontId="0" fillId="0" borderId="12" xfId="0" applyFont="1" applyBorder="1" applyAlignment="1" applyProtection="1">
      <alignment horizontal="center"/>
      <protection locked="0"/>
    </xf>
    <xf numFmtId="0" fontId="0" fillId="0" borderId="16" xfId="0" quotePrefix="1" applyFont="1" applyBorder="1" applyAlignment="1" applyProtection="1">
      <alignment horizontal="center"/>
      <protection locked="0"/>
    </xf>
    <xf numFmtId="3" fontId="12" fillId="2" borderId="15" xfId="0" applyNumberFormat="1" applyFont="1" applyFill="1" applyBorder="1" applyAlignment="1">
      <alignment horizontal="left"/>
    </xf>
    <xf numFmtId="3" fontId="16" fillId="2" borderId="19" xfId="0" applyNumberFormat="1" applyFont="1" applyFill="1" applyBorder="1" applyAlignment="1">
      <alignment horizontal="left"/>
    </xf>
    <xf numFmtId="3" fontId="12" fillId="2" borderId="14" xfId="0" applyNumberFormat="1" applyFont="1" applyFill="1" applyBorder="1" applyAlignment="1">
      <alignment horizontal="left"/>
    </xf>
    <xf numFmtId="3" fontId="12" fillId="2" borderId="19" xfId="0" applyNumberFormat="1" applyFont="1" applyFill="1" applyBorder="1" applyAlignment="1">
      <alignment horizontal="left"/>
    </xf>
    <xf numFmtId="3" fontId="12" fillId="2" borderId="22" xfId="0" applyNumberFormat="1" applyFont="1" applyFill="1" applyBorder="1" applyAlignment="1">
      <alignment horizontal="right"/>
    </xf>
    <xf numFmtId="0" fontId="0" fillId="2" borderId="22" xfId="0" applyFill="1" applyBorder="1"/>
    <xf numFmtId="0" fontId="0" fillId="2" borderId="20" xfId="0" applyFill="1" applyBorder="1"/>
    <xf numFmtId="169" fontId="0" fillId="2" borderId="20" xfId="0" applyNumberFormat="1" applyFill="1" applyBorder="1"/>
    <xf numFmtId="0" fontId="0" fillId="2" borderId="10" xfId="0" applyFill="1" applyBorder="1"/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center" vertical="center"/>
    </xf>
    <xf numFmtId="166" fontId="0" fillId="0" borderId="13" xfId="0" applyNumberFormat="1" applyFont="1" applyBorder="1"/>
    <xf numFmtId="166" fontId="0" fillId="0" borderId="13" xfId="0" applyNumberFormat="1" applyFont="1" applyBorder="1" applyProtection="1">
      <protection locked="0"/>
    </xf>
    <xf numFmtId="0" fontId="0" fillId="2" borderId="0" xfId="0" applyFont="1" applyFill="1" applyBorder="1" applyAlignment="1" applyProtection="1">
      <alignment wrapText="1"/>
    </xf>
    <xf numFmtId="0" fontId="0" fillId="2" borderId="6" xfId="0" applyFont="1" applyFill="1" applyBorder="1" applyAlignment="1" applyProtection="1">
      <alignment wrapText="1"/>
    </xf>
    <xf numFmtId="0" fontId="2" fillId="0" borderId="13" xfId="0" applyFont="1" applyBorder="1" applyAlignment="1">
      <alignment horizontal="center" vertical="center" wrapText="1"/>
    </xf>
    <xf numFmtId="0" fontId="0" fillId="0" borderId="0" xfId="0" applyFont="1" applyAlignment="1" applyProtection="1">
      <alignment wrapText="1"/>
      <protection locked="0"/>
    </xf>
    <xf numFmtId="0" fontId="0" fillId="0" borderId="13" xfId="0" applyFont="1" applyBorder="1"/>
    <xf numFmtId="0" fontId="18" fillId="0" borderId="0" xfId="0" applyFont="1"/>
    <xf numFmtId="9" fontId="0" fillId="2" borderId="20" xfId="1" applyFont="1" applyFill="1" applyBorder="1" applyProtection="1"/>
    <xf numFmtId="0" fontId="0" fillId="2" borderId="20" xfId="0" applyFont="1" applyFill="1" applyBorder="1" applyProtection="1"/>
    <xf numFmtId="0" fontId="0" fillId="2" borderId="19" xfId="0" applyFont="1" applyFill="1" applyBorder="1" applyProtection="1"/>
    <xf numFmtId="0" fontId="0" fillId="2" borderId="18" xfId="0" applyFont="1" applyFill="1" applyBorder="1" applyProtection="1"/>
    <xf numFmtId="9" fontId="0" fillId="2" borderId="10" xfId="1" applyFont="1" applyFill="1" applyBorder="1" applyProtection="1"/>
    <xf numFmtId="0" fontId="0" fillId="2" borderId="10" xfId="0" applyFont="1" applyFill="1" applyBorder="1" applyProtection="1"/>
    <xf numFmtId="0" fontId="0" fillId="2" borderId="11" xfId="0" applyFont="1" applyFill="1" applyBorder="1" applyProtection="1"/>
    <xf numFmtId="0" fontId="0" fillId="2" borderId="23" xfId="0" applyFont="1" applyFill="1" applyBorder="1" applyProtection="1"/>
    <xf numFmtId="0" fontId="0" fillId="2" borderId="24" xfId="0" applyFont="1" applyFill="1" applyBorder="1" applyProtection="1"/>
    <xf numFmtId="166" fontId="0" fillId="2" borderId="24" xfId="4" applyNumberFormat="1" applyFont="1" applyFill="1" applyBorder="1" applyProtection="1"/>
    <xf numFmtId="0" fontId="0" fillId="0" borderId="0" xfId="0" applyFont="1" applyAlignment="1">
      <alignment horizontal="center"/>
    </xf>
    <xf numFmtId="0" fontId="0" fillId="0" borderId="0" xfId="0" applyFont="1" applyAlignment="1" applyProtection="1">
      <alignment horizontal="center"/>
      <protection locked="0"/>
    </xf>
    <xf numFmtId="3" fontId="12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right"/>
    </xf>
    <xf numFmtId="3" fontId="21" fillId="0" borderId="0" xfId="0" applyNumberFormat="1" applyFont="1" applyAlignment="1">
      <alignment horizontal="left"/>
    </xf>
    <xf numFmtId="3" fontId="12" fillId="0" borderId="18" xfId="0" applyNumberFormat="1" applyFont="1" applyBorder="1" applyAlignment="1">
      <alignment horizontal="left"/>
    </xf>
    <xf numFmtId="3" fontId="12" fillId="0" borderId="18" xfId="0" applyNumberFormat="1" applyFont="1" applyBorder="1" applyAlignment="1">
      <alignment horizontal="right"/>
    </xf>
    <xf numFmtId="3" fontId="21" fillId="0" borderId="18" xfId="0" applyNumberFormat="1" applyFont="1" applyBorder="1" applyAlignment="1">
      <alignment horizontal="left"/>
    </xf>
    <xf numFmtId="3" fontId="16" fillId="8" borderId="0" xfId="0" applyNumberFormat="1" applyFont="1" applyFill="1" applyAlignment="1">
      <alignment horizontal="right"/>
    </xf>
    <xf numFmtId="3" fontId="12" fillId="2" borderId="16" xfId="0" applyNumberFormat="1" applyFont="1" applyFill="1" applyBorder="1" applyAlignment="1">
      <alignment horizontal="left"/>
    </xf>
    <xf numFmtId="3" fontId="12" fillId="2" borderId="21" xfId="0" applyNumberFormat="1" applyFont="1" applyFill="1" applyBorder="1" applyAlignment="1">
      <alignment horizontal="right"/>
    </xf>
    <xf numFmtId="3" fontId="12" fillId="0" borderId="11" xfId="0" applyNumberFormat="1" applyFont="1" applyBorder="1" applyAlignment="1">
      <alignment horizontal="left"/>
    </xf>
    <xf numFmtId="0" fontId="0" fillId="0" borderId="23" xfId="0" applyFont="1" applyBorder="1" applyProtection="1">
      <protection locked="0"/>
    </xf>
    <xf numFmtId="0" fontId="0" fillId="0" borderId="24" xfId="0" applyFont="1" applyBorder="1" applyProtection="1">
      <protection locked="0"/>
    </xf>
    <xf numFmtId="3" fontId="12" fillId="2" borderId="17" xfId="0" applyNumberFormat="1" applyFont="1" applyFill="1" applyBorder="1" applyAlignment="1">
      <alignment horizontal="right"/>
    </xf>
    <xf numFmtId="0" fontId="22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center"/>
      <protection locked="0"/>
    </xf>
    <xf numFmtId="3" fontId="12" fillId="2" borderId="18" xfId="0" applyNumberFormat="1" applyFont="1" applyFill="1" applyBorder="1" applyAlignment="1">
      <alignment horizontal="left"/>
    </xf>
    <xf numFmtId="3" fontId="12" fillId="2" borderId="12" xfId="0" applyNumberFormat="1" applyFont="1" applyFill="1" applyBorder="1" applyAlignment="1">
      <alignment horizontal="right"/>
    </xf>
    <xf numFmtId="3" fontId="22" fillId="0" borderId="0" xfId="0" applyNumberFormat="1" applyFont="1" applyAlignment="1" applyProtection="1">
      <alignment horizontal="center"/>
      <protection locked="0"/>
    </xf>
    <xf numFmtId="3" fontId="13" fillId="0" borderId="0" xfId="0" applyNumberFormat="1" applyFont="1" applyAlignment="1" applyProtection="1">
      <alignment horizontal="center"/>
      <protection locked="0"/>
    </xf>
    <xf numFmtId="3" fontId="12" fillId="2" borderId="0" xfId="0" applyNumberFormat="1" applyFont="1" applyFill="1" applyAlignment="1">
      <alignment horizontal="left"/>
    </xf>
    <xf numFmtId="0" fontId="0" fillId="0" borderId="0" xfId="0" applyFont="1" applyAlignment="1" applyProtection="1">
      <alignment horizontal="right"/>
      <protection locked="0"/>
    </xf>
    <xf numFmtId="3" fontId="0" fillId="0" borderId="0" xfId="0" applyNumberFormat="1" applyFont="1" applyAlignment="1" applyProtection="1">
      <alignment horizontal="center"/>
      <protection locked="0"/>
    </xf>
    <xf numFmtId="3" fontId="0" fillId="0" borderId="13" xfId="0" applyNumberFormat="1" applyFont="1" applyBorder="1" applyAlignment="1" applyProtection="1">
      <alignment horizontal="center"/>
      <protection locked="0"/>
    </xf>
    <xf numFmtId="3" fontId="12" fillId="2" borderId="0" xfId="0" applyNumberFormat="1" applyFont="1" applyFill="1" applyAlignment="1">
      <alignment horizontal="center"/>
    </xf>
    <xf numFmtId="3" fontId="12" fillId="2" borderId="15" xfId="0" applyNumberFormat="1" applyFont="1" applyFill="1" applyBorder="1" applyAlignment="1">
      <alignment horizontal="center"/>
    </xf>
    <xf numFmtId="3" fontId="12" fillId="2" borderId="16" xfId="0" applyNumberFormat="1" applyFont="1" applyFill="1" applyBorder="1" applyAlignment="1">
      <alignment horizontal="center"/>
    </xf>
    <xf numFmtId="3" fontId="12" fillId="2" borderId="22" xfId="0" applyNumberFormat="1" applyFont="1" applyFill="1" applyBorder="1" applyAlignment="1">
      <alignment horizontal="center"/>
    </xf>
    <xf numFmtId="3" fontId="12" fillId="2" borderId="0" xfId="0" applyNumberFormat="1" applyFont="1" applyFill="1" applyBorder="1" applyAlignment="1">
      <alignment horizontal="center"/>
    </xf>
    <xf numFmtId="9" fontId="0" fillId="0" borderId="0" xfId="0" applyNumberFormat="1" applyFont="1" applyAlignment="1" applyProtection="1">
      <alignment horizontal="center"/>
      <protection locked="0"/>
    </xf>
    <xf numFmtId="3" fontId="12" fillId="2" borderId="19" xfId="0" applyNumberFormat="1" applyFont="1" applyFill="1" applyBorder="1" applyAlignment="1">
      <alignment horizontal="center"/>
    </xf>
    <xf numFmtId="3" fontId="12" fillId="2" borderId="18" xfId="0" applyNumberFormat="1" applyFont="1" applyFill="1" applyBorder="1" applyAlignment="1">
      <alignment horizontal="center"/>
    </xf>
    <xf numFmtId="3" fontId="12" fillId="2" borderId="10" xfId="0" applyNumberFormat="1" applyFont="1" applyFill="1" applyBorder="1" applyAlignment="1">
      <alignment horizontal="center"/>
    </xf>
    <xf numFmtId="0" fontId="0" fillId="0" borderId="0" xfId="0" applyFont="1" applyAlignment="1" applyProtection="1">
      <protection locked="0"/>
    </xf>
    <xf numFmtId="3" fontId="12" fillId="2" borderId="21" xfId="0" applyNumberFormat="1" applyFont="1" applyFill="1" applyBorder="1" applyAlignment="1">
      <alignment horizontal="center"/>
    </xf>
    <xf numFmtId="3" fontId="24" fillId="2" borderId="16" xfId="0" applyNumberFormat="1" applyFont="1" applyFill="1" applyBorder="1" applyAlignment="1">
      <alignment horizontal="center"/>
    </xf>
    <xf numFmtId="3" fontId="24" fillId="2" borderId="0" xfId="0" applyNumberFormat="1" applyFont="1" applyFill="1" applyAlignment="1">
      <alignment horizontal="left"/>
    </xf>
    <xf numFmtId="3" fontId="12" fillId="2" borderId="12" xfId="0" applyNumberFormat="1" applyFont="1" applyFill="1" applyBorder="1" applyAlignment="1">
      <alignment horizontal="center"/>
    </xf>
    <xf numFmtId="3" fontId="24" fillId="2" borderId="18" xfId="0" applyNumberFormat="1" applyFont="1" applyFill="1" applyBorder="1" applyAlignment="1">
      <alignment horizontal="center"/>
    </xf>
    <xf numFmtId="3" fontId="12" fillId="2" borderId="17" xfId="0" applyNumberFormat="1" applyFont="1" applyFill="1" applyBorder="1" applyAlignment="1">
      <alignment horizontal="center"/>
    </xf>
    <xf numFmtId="9" fontId="12" fillId="2" borderId="20" xfId="1" applyFont="1" applyFill="1" applyBorder="1" applyAlignment="1">
      <alignment horizontal="center"/>
    </xf>
    <xf numFmtId="9" fontId="12" fillId="2" borderId="10" xfId="1" applyFont="1" applyFill="1" applyBorder="1" applyAlignment="1">
      <alignment horizontal="center"/>
    </xf>
    <xf numFmtId="3" fontId="0" fillId="2" borderId="19" xfId="0" applyNumberFormat="1" applyFont="1" applyFill="1" applyBorder="1" applyAlignment="1">
      <alignment horizontal="center"/>
    </xf>
    <xf numFmtId="3" fontId="0" fillId="2" borderId="10" xfId="0" applyNumberFormat="1" applyFont="1" applyFill="1" applyBorder="1" applyAlignment="1">
      <alignment horizontal="center"/>
    </xf>
    <xf numFmtId="3" fontId="0" fillId="2" borderId="18" xfId="0" applyNumberFormat="1" applyFont="1" applyFill="1" applyBorder="1" applyAlignment="1">
      <alignment horizontal="center"/>
    </xf>
    <xf numFmtId="3" fontId="0" fillId="2" borderId="0" xfId="0" applyNumberFormat="1" applyFont="1" applyFill="1"/>
    <xf numFmtId="3" fontId="0" fillId="2" borderId="14" xfId="0" applyNumberFormat="1" applyFont="1" applyFill="1" applyBorder="1" applyAlignment="1">
      <alignment horizontal="center"/>
    </xf>
    <xf numFmtId="9" fontId="0" fillId="2" borderId="20" xfId="1" applyFont="1" applyFill="1" applyBorder="1" applyAlignment="1">
      <alignment horizontal="center"/>
    </xf>
    <xf numFmtId="3" fontId="0" fillId="2" borderId="0" xfId="0" applyNumberFormat="1" applyFont="1" applyFill="1" applyBorder="1" applyAlignment="1">
      <alignment horizontal="center"/>
    </xf>
    <xf numFmtId="3" fontId="0" fillId="2" borderId="20" xfId="0" applyNumberFormat="1" applyFont="1" applyFill="1" applyBorder="1" applyAlignment="1">
      <alignment horizontal="center"/>
    </xf>
    <xf numFmtId="9" fontId="0" fillId="2" borderId="10" xfId="1" applyFont="1" applyFill="1" applyBorder="1" applyAlignment="1">
      <alignment horizontal="center"/>
    </xf>
    <xf numFmtId="3" fontId="0" fillId="0" borderId="13" xfId="0" applyNumberFormat="1" applyFont="1" applyBorder="1" applyProtection="1">
      <protection locked="0"/>
    </xf>
    <xf numFmtId="3" fontId="0" fillId="2" borderId="15" xfId="0" applyNumberFormat="1" applyFont="1" applyFill="1" applyBorder="1"/>
    <xf numFmtId="3" fontId="0" fillId="2" borderId="16" xfId="0" applyNumberFormat="1" applyFont="1" applyFill="1" applyBorder="1"/>
    <xf numFmtId="3" fontId="0" fillId="2" borderId="21" xfId="0" applyNumberFormat="1" applyFont="1" applyFill="1" applyBorder="1"/>
    <xf numFmtId="3" fontId="0" fillId="2" borderId="19" xfId="0" applyNumberFormat="1" applyFont="1" applyFill="1" applyBorder="1"/>
    <xf numFmtId="3" fontId="0" fillId="2" borderId="18" xfId="0" applyNumberFormat="1" applyFont="1" applyFill="1" applyBorder="1"/>
    <xf numFmtId="3" fontId="0" fillId="2" borderId="12" xfId="0" applyNumberFormat="1" applyFont="1" applyFill="1" applyBorder="1"/>
    <xf numFmtId="3" fontId="12" fillId="9" borderId="0" xfId="0" applyNumberFormat="1" applyFont="1" applyFill="1" applyAlignment="1">
      <alignment horizontal="right"/>
    </xf>
    <xf numFmtId="3" fontId="0" fillId="0" borderId="0" xfId="0" applyNumberFormat="1" applyFont="1"/>
    <xf numFmtId="3" fontId="13" fillId="0" borderId="0" xfId="0" applyNumberFormat="1" applyFont="1"/>
    <xf numFmtId="3" fontId="0" fillId="2" borderId="11" xfId="0" applyNumberFormat="1" applyFont="1" applyFill="1" applyBorder="1" applyAlignment="1">
      <alignment horizontal="center"/>
    </xf>
    <xf numFmtId="3" fontId="0" fillId="2" borderId="23" xfId="0" applyNumberFormat="1" applyFont="1" applyFill="1" applyBorder="1" applyAlignment="1">
      <alignment horizontal="center"/>
    </xf>
    <xf numFmtId="3" fontId="0" fillId="2" borderId="24" xfId="0" applyNumberFormat="1" applyFont="1" applyFill="1" applyBorder="1" applyAlignment="1">
      <alignment horizontal="center"/>
    </xf>
    <xf numFmtId="9" fontId="0" fillId="2" borderId="18" xfId="1" applyFont="1" applyFill="1" applyBorder="1" applyAlignment="1">
      <alignment horizontal="center"/>
    </xf>
    <xf numFmtId="3" fontId="0" fillId="2" borderId="11" xfId="0" applyNumberFormat="1" applyFont="1" applyFill="1" applyBorder="1"/>
    <xf numFmtId="3" fontId="0" fillId="2" borderId="23" xfId="0" applyNumberFormat="1" applyFont="1" applyFill="1" applyBorder="1"/>
    <xf numFmtId="3" fontId="0" fillId="2" borderId="11" xfId="0" applyNumberFormat="1" applyFont="1" applyFill="1" applyBorder="1" applyAlignment="1">
      <alignment horizontal="centerContinuous"/>
    </xf>
    <xf numFmtId="3" fontId="0" fillId="2" borderId="24" xfId="0" applyNumberFormat="1" applyFont="1" applyFill="1" applyBorder="1" applyAlignment="1">
      <alignment horizontal="centerContinuous"/>
    </xf>
    <xf numFmtId="10" fontId="0" fillId="2" borderId="15" xfId="1" applyNumberFormat="1" applyFont="1" applyFill="1" applyBorder="1" applyAlignment="1">
      <alignment horizontal="centerContinuous"/>
    </xf>
    <xf numFmtId="10" fontId="0" fillId="2" borderId="22" xfId="1" applyNumberFormat="1" applyFont="1" applyFill="1" applyBorder="1" applyAlignment="1">
      <alignment horizontal="centerContinuous"/>
    </xf>
    <xf numFmtId="3" fontId="0" fillId="2" borderId="14" xfId="0" applyNumberFormat="1" applyFont="1" applyFill="1" applyBorder="1"/>
    <xf numFmtId="3" fontId="0" fillId="2" borderId="0" xfId="0" applyNumberFormat="1" applyFont="1" applyFill="1" applyBorder="1"/>
    <xf numFmtId="10" fontId="0" fillId="2" borderId="14" xfId="1" applyNumberFormat="1" applyFont="1" applyFill="1" applyBorder="1" applyAlignment="1">
      <alignment horizontal="centerContinuous"/>
    </xf>
    <xf numFmtId="10" fontId="0" fillId="2" borderId="20" xfId="1" applyNumberFormat="1" applyFont="1" applyFill="1" applyBorder="1" applyAlignment="1">
      <alignment horizontal="centerContinuous"/>
    </xf>
    <xf numFmtId="3" fontId="12" fillId="0" borderId="0" xfId="0" applyNumberFormat="1" applyFont="1" applyAlignment="1">
      <alignment horizontal="center"/>
    </xf>
    <xf numFmtId="10" fontId="0" fillId="2" borderId="19" xfId="1" applyNumberFormat="1" applyFont="1" applyFill="1" applyBorder="1" applyAlignment="1">
      <alignment horizontal="centerContinuous"/>
    </xf>
    <xf numFmtId="10" fontId="0" fillId="2" borderId="10" xfId="1" applyNumberFormat="1" applyFont="1" applyFill="1" applyBorder="1" applyAlignment="1">
      <alignment horizontal="centerContinuous"/>
    </xf>
    <xf numFmtId="3" fontId="24" fillId="2" borderId="0" xfId="0" applyNumberFormat="1" applyFont="1" applyFill="1"/>
    <xf numFmtId="0" fontId="0" fillId="2" borderId="7" xfId="0" applyFont="1" applyFill="1" applyBorder="1" applyProtection="1">
      <protection locked="0"/>
    </xf>
    <xf numFmtId="0" fontId="0" fillId="0" borderId="0" xfId="0" quotePrefix="1" applyFont="1" applyAlignment="1" applyProtection="1">
      <alignment horizontal="center"/>
      <protection locked="0"/>
    </xf>
    <xf numFmtId="0" fontId="0" fillId="0" borderId="20" xfId="0" quotePrefix="1" applyFont="1" applyBorder="1" applyAlignment="1" applyProtection="1">
      <alignment horizontal="center"/>
      <protection locked="0"/>
    </xf>
    <xf numFmtId="3" fontId="12" fillId="0" borderId="20" xfId="0" applyNumberFormat="1" applyFont="1" applyFill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0" fontId="0" fillId="0" borderId="20" xfId="0" applyFont="1" applyBorder="1" applyAlignment="1" applyProtection="1">
      <alignment horizontal="center"/>
      <protection locked="0"/>
    </xf>
    <xf numFmtId="3" fontId="12" fillId="0" borderId="10" xfId="0" applyNumberFormat="1" applyFont="1" applyFill="1" applyBorder="1" applyAlignment="1">
      <alignment horizontal="center"/>
    </xf>
    <xf numFmtId="3" fontId="0" fillId="0" borderId="18" xfId="0" applyNumberFormat="1" applyFont="1" applyFill="1" applyBorder="1" applyAlignment="1">
      <alignment horizontal="center"/>
    </xf>
    <xf numFmtId="3" fontId="0" fillId="0" borderId="10" xfId="0" applyNumberFormat="1" applyFont="1" applyFill="1" applyBorder="1" applyAlignment="1">
      <alignment horizontal="center"/>
    </xf>
    <xf numFmtId="0" fontId="0" fillId="0" borderId="10" xfId="0" applyFont="1" applyBorder="1" applyAlignment="1" applyProtection="1">
      <alignment horizontal="center"/>
      <protection locked="0"/>
    </xf>
    <xf numFmtId="3" fontId="0" fillId="0" borderId="0" xfId="0" applyNumberFormat="1" applyFont="1" applyFill="1" applyBorder="1" applyAlignment="1">
      <alignment horizontal="center"/>
    </xf>
    <xf numFmtId="9" fontId="0" fillId="0" borderId="20" xfId="1" applyFont="1" applyFill="1" applyBorder="1" applyAlignment="1">
      <alignment horizontal="center"/>
    </xf>
    <xf numFmtId="3" fontId="0" fillId="0" borderId="0" xfId="0" applyNumberFormat="1" applyFont="1" applyAlignment="1" applyProtection="1">
      <protection locked="0"/>
    </xf>
    <xf numFmtId="3" fontId="0" fillId="0" borderId="20" xfId="0" applyNumberFormat="1" applyFont="1" applyBorder="1" applyAlignment="1" applyProtection="1">
      <alignment horizontal="center"/>
      <protection locked="0"/>
    </xf>
    <xf numFmtId="3" fontId="12" fillId="0" borderId="23" xfId="0" applyNumberFormat="1" applyFont="1" applyBorder="1" applyAlignment="1">
      <alignment horizontal="left"/>
    </xf>
    <xf numFmtId="3" fontId="12" fillId="0" borderId="24" xfId="0" applyNumberFormat="1" applyFont="1" applyBorder="1" applyAlignment="1">
      <alignment horizontal="left"/>
    </xf>
    <xf numFmtId="0" fontId="2" fillId="0" borderId="0" xfId="0" applyFont="1" applyAlignment="1" applyProtection="1">
      <alignment horizontal="center"/>
      <protection locked="0"/>
    </xf>
    <xf numFmtId="3" fontId="6" fillId="0" borderId="0" xfId="0" applyNumberFormat="1" applyFont="1" applyProtection="1">
      <protection locked="0"/>
    </xf>
    <xf numFmtId="3" fontId="19" fillId="5" borderId="0" xfId="6" applyNumberFormat="1" applyAlignment="1" applyProtection="1">
      <alignment horizontal="center"/>
      <protection locked="0"/>
    </xf>
    <xf numFmtId="10" fontId="0" fillId="0" borderId="0" xfId="0" applyNumberFormat="1" applyFont="1" applyAlignment="1" applyProtection="1">
      <alignment horizontal="center"/>
      <protection locked="0"/>
    </xf>
    <xf numFmtId="0" fontId="0" fillId="0" borderId="0" xfId="0" quotePrefix="1" applyFont="1" applyAlignment="1" applyProtection="1">
      <alignment horizontal="centerContinuous"/>
      <protection locked="0"/>
    </xf>
    <xf numFmtId="0" fontId="0" fillId="0" borderId="0" xfId="0" applyFont="1" applyAlignment="1" applyProtection="1">
      <alignment horizontal="centerContinuous"/>
      <protection locked="0"/>
    </xf>
    <xf numFmtId="3" fontId="0" fillId="0" borderId="16" xfId="0" applyNumberFormat="1" applyFont="1" applyBorder="1" applyProtection="1">
      <protection locked="0"/>
    </xf>
    <xf numFmtId="0" fontId="25" fillId="0" borderId="16" xfId="0" applyFont="1" applyBorder="1" applyProtection="1">
      <protection locked="0"/>
    </xf>
    <xf numFmtId="0" fontId="0" fillId="0" borderId="0" xfId="0" applyFont="1" applyAlignment="1" applyProtection="1">
      <alignment horizontal="left"/>
      <protection locked="0"/>
    </xf>
    <xf numFmtId="3" fontId="0" fillId="0" borderId="0" xfId="0" applyNumberFormat="1" applyFont="1" applyAlignment="1" applyProtection="1">
      <alignment horizontal="left"/>
      <protection locked="0"/>
    </xf>
    <xf numFmtId="165" fontId="2" fillId="8" borderId="0" xfId="1" applyNumberFormat="1" applyFont="1" applyFill="1" applyAlignment="1" applyProtection="1">
      <alignment horizontal="center"/>
      <protection locked="0"/>
    </xf>
    <xf numFmtId="165" fontId="0" fillId="0" borderId="0" xfId="0" applyNumberFormat="1" applyFont="1" applyAlignment="1" applyProtection="1">
      <alignment horizontal="center"/>
      <protection locked="0"/>
    </xf>
    <xf numFmtId="0" fontId="7" fillId="0" borderId="0" xfId="0" applyFont="1"/>
    <xf numFmtId="0" fontId="0" fillId="2" borderId="0" xfId="0" applyFont="1" applyFill="1"/>
    <xf numFmtId="3" fontId="12" fillId="2" borderId="11" xfId="0" applyNumberFormat="1" applyFont="1" applyFill="1" applyBorder="1" applyAlignment="1">
      <alignment horizontal="left"/>
    </xf>
    <xf numFmtId="3" fontId="12" fillId="2" borderId="23" xfId="0" applyNumberFormat="1" applyFont="1" applyFill="1" applyBorder="1" applyAlignment="1">
      <alignment horizontal="left"/>
    </xf>
    <xf numFmtId="165" fontId="12" fillId="2" borderId="13" xfId="1" applyNumberFormat="1" applyFont="1" applyFill="1" applyBorder="1" applyAlignment="1">
      <alignment horizontal="right"/>
    </xf>
    <xf numFmtId="3" fontId="12" fillId="0" borderId="0" xfId="0" applyNumberFormat="1" applyFont="1" applyAlignment="1">
      <alignment horizontal="centerContinuous"/>
    </xf>
    <xf numFmtId="0" fontId="0" fillId="0" borderId="0" xfId="0" applyFont="1" applyAlignment="1">
      <alignment horizontal="centerContinuous"/>
    </xf>
    <xf numFmtId="165" fontId="12" fillId="2" borderId="17" xfId="1" applyNumberFormat="1" applyFont="1" applyFill="1" applyBorder="1" applyAlignment="1">
      <alignment horizontal="right"/>
    </xf>
    <xf numFmtId="3" fontId="0" fillId="0" borderId="0" xfId="0" applyNumberFormat="1" applyFont="1" applyAlignment="1">
      <alignment horizontal="center"/>
    </xf>
    <xf numFmtId="9" fontId="12" fillId="2" borderId="17" xfId="1" applyNumberFormat="1" applyFont="1" applyFill="1" applyBorder="1" applyAlignment="1">
      <alignment horizontal="right"/>
    </xf>
    <xf numFmtId="3" fontId="14" fillId="4" borderId="13" xfId="3" applyNumberFormat="1" applyFont="1" applyBorder="1" applyAlignment="1">
      <alignment horizontal="center"/>
    </xf>
    <xf numFmtId="0" fontId="24" fillId="0" borderId="0" xfId="0" applyFont="1"/>
    <xf numFmtId="3" fontId="12" fillId="2" borderId="12" xfId="1" applyNumberFormat="1" applyFont="1" applyFill="1" applyBorder="1" applyAlignment="1">
      <alignment horizontal="right"/>
    </xf>
    <xf numFmtId="165" fontId="12" fillId="2" borderId="12" xfId="1" applyNumberFormat="1" applyFont="1" applyFill="1" applyBorder="1" applyAlignment="1">
      <alignment horizontal="right"/>
    </xf>
    <xf numFmtId="3" fontId="31" fillId="2" borderId="11" xfId="0" applyNumberFormat="1" applyFont="1" applyFill="1" applyBorder="1" applyAlignment="1">
      <alignment horizontal="left"/>
    </xf>
    <xf numFmtId="3" fontId="0" fillId="2" borderId="24" xfId="0" applyNumberFormat="1" applyFont="1" applyFill="1" applyBorder="1"/>
    <xf numFmtId="3" fontId="12" fillId="2" borderId="22" xfId="0" applyNumberFormat="1" applyFont="1" applyFill="1" applyBorder="1" applyAlignment="1">
      <alignment horizontal="left"/>
    </xf>
    <xf numFmtId="3" fontId="12" fillId="2" borderId="20" xfId="0" applyNumberFormat="1" applyFont="1" applyFill="1" applyBorder="1" applyAlignment="1">
      <alignment horizontal="left"/>
    </xf>
    <xf numFmtId="3" fontId="12" fillId="2" borderId="20" xfId="0" applyNumberFormat="1" applyFont="1" applyFill="1" applyBorder="1" applyAlignment="1">
      <alignment horizontal="right"/>
    </xf>
    <xf numFmtId="3" fontId="12" fillId="2" borderId="10" xfId="0" applyNumberFormat="1" applyFont="1" applyFill="1" applyBorder="1" applyAlignment="1">
      <alignment horizontal="left"/>
    </xf>
    <xf numFmtId="3" fontId="12" fillId="2" borderId="10" xfId="0" applyNumberFormat="1" applyFont="1" applyFill="1" applyBorder="1" applyAlignment="1">
      <alignment horizontal="right"/>
    </xf>
    <xf numFmtId="3" fontId="13" fillId="0" borderId="13" xfId="0" applyNumberFormat="1" applyFont="1" applyBorder="1" applyAlignment="1">
      <alignment horizontal="center"/>
    </xf>
    <xf numFmtId="0" fontId="32" fillId="0" borderId="0" xfId="0" applyFont="1"/>
    <xf numFmtId="3" fontId="34" fillId="0" borderId="0" xfId="0" applyNumberFormat="1" applyFont="1" applyAlignment="1">
      <alignment horizontal="left"/>
    </xf>
    <xf numFmtId="3" fontId="29" fillId="0" borderId="0" xfId="0" applyNumberFormat="1" applyFont="1" applyAlignment="1">
      <alignment horizontal="left"/>
    </xf>
    <xf numFmtId="3" fontId="12" fillId="0" borderId="0" xfId="0" quotePrefix="1" applyNumberFormat="1" applyFont="1" applyAlignment="1">
      <alignment horizontal="left"/>
    </xf>
    <xf numFmtId="0" fontId="0" fillId="2" borderId="25" xfId="0" applyFont="1" applyFill="1" applyBorder="1" applyProtection="1"/>
    <xf numFmtId="0" fontId="35" fillId="0" borderId="0" xfId="0" applyFont="1"/>
    <xf numFmtId="0" fontId="0" fillId="2" borderId="23" xfId="0" applyFont="1" applyFill="1" applyBorder="1"/>
    <xf numFmtId="0" fontId="0" fillId="2" borderId="24" xfId="0" applyFont="1" applyFill="1" applyBorder="1"/>
    <xf numFmtId="0" fontId="12" fillId="2" borderId="24" xfId="0" applyFont="1" applyFill="1" applyBorder="1" applyAlignment="1">
      <alignment horizontal="center"/>
    </xf>
    <xf numFmtId="0" fontId="13" fillId="2" borderId="0" xfId="0" applyFont="1" applyFill="1"/>
    <xf numFmtId="0" fontId="0" fillId="2" borderId="16" xfId="0" applyFont="1" applyFill="1" applyBorder="1"/>
    <xf numFmtId="0" fontId="0" fillId="2" borderId="22" xfId="0" applyFont="1" applyFill="1" applyBorder="1"/>
    <xf numFmtId="9" fontId="0" fillId="2" borderId="22" xfId="1" applyFont="1" applyFill="1" applyBorder="1"/>
    <xf numFmtId="0" fontId="0" fillId="2" borderId="18" xfId="0" applyFont="1" applyFill="1" applyBorder="1"/>
    <xf numFmtId="0" fontId="0" fillId="2" borderId="10" xfId="0" applyFont="1" applyFill="1" applyBorder="1"/>
    <xf numFmtId="9" fontId="0" fillId="2" borderId="10" xfId="1" applyFont="1" applyFill="1" applyBorder="1"/>
    <xf numFmtId="0" fontId="14" fillId="4" borderId="13" xfId="3" applyBorder="1" applyAlignment="1">
      <alignment horizontal="center"/>
    </xf>
    <xf numFmtId="0" fontId="13" fillId="0" borderId="11" xfId="3" applyFont="1" applyFill="1" applyBorder="1"/>
    <xf numFmtId="0" fontId="13" fillId="0" borderId="23" xfId="3" applyFont="1" applyFill="1" applyBorder="1" applyAlignment="1">
      <alignment horizontal="center"/>
    </xf>
    <xf numFmtId="0" fontId="13" fillId="0" borderId="23" xfId="3" applyFont="1" applyFill="1" applyBorder="1"/>
    <xf numFmtId="0" fontId="13" fillId="0" borderId="24" xfId="3" applyFont="1" applyFill="1" applyBorder="1"/>
    <xf numFmtId="1" fontId="0" fillId="2" borderId="23" xfId="0" applyNumberFormat="1" applyFont="1" applyFill="1" applyBorder="1" applyAlignment="1">
      <alignment horizontal="center"/>
    </xf>
    <xf numFmtId="1" fontId="0" fillId="2" borderId="24" xfId="0" applyNumberFormat="1" applyFont="1" applyFill="1" applyBorder="1" applyAlignment="1">
      <alignment horizontal="center"/>
    </xf>
    <xf numFmtId="3" fontId="0" fillId="0" borderId="18" xfId="0" applyNumberFormat="1" applyFont="1" applyBorder="1"/>
    <xf numFmtId="3" fontId="0" fillId="0" borderId="10" xfId="0" applyNumberFormat="1" applyFont="1" applyBorder="1"/>
    <xf numFmtId="1" fontId="0" fillId="0" borderId="18" xfId="0" applyNumberFormat="1" applyFont="1" applyBorder="1" applyAlignment="1">
      <alignment horizontal="center"/>
    </xf>
    <xf numFmtId="3" fontId="14" fillId="4" borderId="14" xfId="3" applyNumberFormat="1" applyBorder="1"/>
    <xf numFmtId="3" fontId="14" fillId="4" borderId="0" xfId="3" applyNumberFormat="1" applyBorder="1"/>
    <xf numFmtId="0" fontId="14" fillId="4" borderId="0" xfId="3" applyBorder="1"/>
    <xf numFmtId="0" fontId="14" fillId="4" borderId="20" xfId="3" applyBorder="1"/>
    <xf numFmtId="3" fontId="0" fillId="2" borderId="20" xfId="0" applyNumberFormat="1" applyFont="1" applyFill="1" applyBorder="1"/>
    <xf numFmtId="9" fontId="0" fillId="10" borderId="0" xfId="1" applyFont="1" applyFill="1" applyBorder="1" applyAlignment="1">
      <alignment horizontal="center"/>
    </xf>
    <xf numFmtId="9" fontId="0" fillId="10" borderId="0" xfId="1" applyNumberFormat="1" applyFont="1" applyFill="1" applyBorder="1"/>
    <xf numFmtId="9" fontId="0" fillId="10" borderId="0" xfId="1" applyFont="1" applyFill="1" applyBorder="1"/>
    <xf numFmtId="9" fontId="0" fillId="10" borderId="20" xfId="1" applyFont="1" applyFill="1" applyBorder="1"/>
    <xf numFmtId="3" fontId="0" fillId="0" borderId="0" xfId="0" applyNumberFormat="1" applyFont="1" applyBorder="1"/>
    <xf numFmtId="3" fontId="0" fillId="0" borderId="20" xfId="0" applyNumberFormat="1" applyFont="1" applyBorder="1"/>
    <xf numFmtId="9" fontId="0" fillId="0" borderId="0" xfId="1" applyFont="1" applyAlignment="1">
      <alignment horizontal="center"/>
    </xf>
    <xf numFmtId="0" fontId="0" fillId="2" borderId="0" xfId="0" applyFont="1" applyFill="1" applyBorder="1"/>
    <xf numFmtId="0" fontId="0" fillId="2" borderId="20" xfId="0" applyFont="1" applyFill="1" applyBorder="1"/>
    <xf numFmtId="3" fontId="0" fillId="10" borderId="0" xfId="0" applyNumberFormat="1" applyFont="1" applyFill="1" applyBorder="1"/>
    <xf numFmtId="3" fontId="0" fillId="10" borderId="20" xfId="0" applyNumberFormat="1" applyFont="1" applyFill="1" applyBorder="1"/>
    <xf numFmtId="3" fontId="0" fillId="2" borderId="10" xfId="0" applyNumberFormat="1" applyFont="1" applyFill="1" applyBorder="1"/>
    <xf numFmtId="3" fontId="0" fillId="10" borderId="18" xfId="0" applyNumberFormat="1" applyFont="1" applyFill="1" applyBorder="1"/>
    <xf numFmtId="3" fontId="0" fillId="10" borderId="10" xfId="0" applyNumberFormat="1" applyFont="1" applyFill="1" applyBorder="1"/>
    <xf numFmtId="3" fontId="0" fillId="0" borderId="16" xfId="0" applyNumberFormat="1" applyFont="1" applyBorder="1"/>
    <xf numFmtId="3" fontId="0" fillId="0" borderId="22" xfId="0" applyNumberFormat="1" applyFont="1" applyBorder="1"/>
    <xf numFmtId="3" fontId="0" fillId="0" borderId="16" xfId="0" applyNumberFormat="1" applyFont="1" applyBorder="1" applyAlignment="1">
      <alignment horizontal="center"/>
    </xf>
    <xf numFmtId="3" fontId="16" fillId="0" borderId="0" xfId="0" applyNumberFormat="1" applyFont="1" applyAlignment="1">
      <alignment horizontal="centerContinuous"/>
    </xf>
    <xf numFmtId="3" fontId="0" fillId="0" borderId="0" xfId="0" applyNumberFormat="1" applyFont="1" applyAlignment="1">
      <alignment horizontal="centerContinuous"/>
    </xf>
    <xf numFmtId="3" fontId="20" fillId="6" borderId="14" xfId="7" applyNumberFormat="1" applyBorder="1"/>
    <xf numFmtId="3" fontId="20" fillId="6" borderId="0" xfId="7" applyNumberFormat="1" applyBorder="1"/>
    <xf numFmtId="0" fontId="20" fillId="6" borderId="0" xfId="7" applyBorder="1"/>
    <xf numFmtId="0" fontId="20" fillId="6" borderId="20" xfId="7" applyBorder="1"/>
    <xf numFmtId="3" fontId="0" fillId="2" borderId="14" xfId="0" quotePrefix="1" applyNumberFormat="1" applyFont="1" applyFill="1" applyBorder="1"/>
    <xf numFmtId="0" fontId="20" fillId="6" borderId="13" xfId="7" applyBorder="1" applyAlignment="1">
      <alignment horizontal="center"/>
    </xf>
    <xf numFmtId="0" fontId="37" fillId="0" borderId="23" xfId="3" applyFont="1" applyFill="1" applyBorder="1"/>
    <xf numFmtId="3" fontId="19" fillId="5" borderId="14" xfId="6" applyNumberFormat="1" applyBorder="1"/>
    <xf numFmtId="3" fontId="19" fillId="5" borderId="0" xfId="6" applyNumberFormat="1" applyBorder="1"/>
    <xf numFmtId="0" fontId="19" fillId="5" borderId="0" xfId="6" applyBorder="1"/>
    <xf numFmtId="0" fontId="19" fillId="5" borderId="20" xfId="6" applyBorder="1"/>
    <xf numFmtId="3" fontId="0" fillId="0" borderId="22" xfId="0" applyNumberFormat="1" applyFont="1" applyBorder="1" applyAlignment="1">
      <alignment horizontal="right"/>
    </xf>
    <xf numFmtId="3" fontId="0" fillId="0" borderId="10" xfId="0" applyNumberFormat="1" applyFont="1" applyBorder="1" applyAlignment="1">
      <alignment horizontal="right"/>
    </xf>
    <xf numFmtId="0" fontId="19" fillId="5" borderId="13" xfId="6" applyBorder="1" applyAlignment="1">
      <alignment horizontal="center"/>
    </xf>
    <xf numFmtId="0" fontId="13" fillId="0" borderId="11" xfId="3" applyFont="1" applyFill="1" applyBorder="1" applyAlignment="1">
      <alignment horizontal="center"/>
    </xf>
    <xf numFmtId="3" fontId="0" fillId="0" borderId="0" xfId="1" applyNumberFormat="1" applyFont="1" applyAlignment="1">
      <alignment horizontal="center"/>
    </xf>
    <xf numFmtId="0" fontId="0" fillId="2" borderId="0" xfId="0" applyFont="1" applyFill="1" applyAlignment="1" applyProtection="1">
      <alignment horizontal="left"/>
      <protection locked="0"/>
    </xf>
    <xf numFmtId="3" fontId="14" fillId="4" borderId="13" xfId="3" applyNumberFormat="1" applyBorder="1" applyAlignment="1">
      <alignment horizontal="center"/>
    </xf>
    <xf numFmtId="3" fontId="0" fillId="0" borderId="13" xfId="0" applyNumberFormat="1" applyFont="1" applyBorder="1" applyAlignment="1">
      <alignment horizontal="center"/>
    </xf>
    <xf numFmtId="2" fontId="26" fillId="0" borderId="9" xfId="3" applyNumberFormat="1" applyFont="1" applyFill="1" applyBorder="1" applyAlignment="1">
      <alignment horizontal="center"/>
    </xf>
    <xf numFmtId="2" fontId="26" fillId="0" borderId="9" xfId="0" applyNumberFormat="1" applyFont="1" applyFill="1" applyBorder="1" applyAlignment="1">
      <alignment horizontal="center"/>
    </xf>
    <xf numFmtId="3" fontId="0" fillId="0" borderId="18" xfId="0" applyNumberFormat="1" applyFont="1" applyBorder="1" applyAlignment="1">
      <alignment horizontal="center"/>
    </xf>
    <xf numFmtId="3" fontId="0" fillId="0" borderId="10" xfId="0" applyNumberFormat="1" applyFont="1" applyBorder="1" applyAlignment="1">
      <alignment horizontal="center"/>
    </xf>
    <xf numFmtId="1" fontId="0" fillId="0" borderId="17" xfId="0" applyNumberFormat="1" applyFont="1" applyBorder="1" applyAlignment="1">
      <alignment horizontal="center"/>
    </xf>
    <xf numFmtId="1" fontId="0" fillId="0" borderId="12" xfId="0" applyNumberFormat="1" applyFont="1" applyBorder="1" applyAlignment="1">
      <alignment horizontal="center"/>
    </xf>
    <xf numFmtId="9" fontId="0" fillId="2" borderId="0" xfId="1" applyFont="1" applyFill="1" applyAlignment="1">
      <alignment horizontal="center"/>
    </xf>
    <xf numFmtId="3" fontId="0" fillId="2" borderId="21" xfId="0" applyNumberFormat="1" applyFont="1" applyFill="1" applyBorder="1" applyAlignment="1">
      <alignment horizontal="center"/>
    </xf>
    <xf numFmtId="3" fontId="0" fillId="2" borderId="16" xfId="0" applyNumberFormat="1" applyFont="1" applyFill="1" applyBorder="1" applyAlignment="1">
      <alignment horizontal="center"/>
    </xf>
    <xf numFmtId="3" fontId="0" fillId="2" borderId="22" xfId="0" applyNumberFormat="1" applyFont="1" applyFill="1" applyBorder="1" applyAlignment="1">
      <alignment horizontal="center"/>
    </xf>
    <xf numFmtId="3" fontId="0" fillId="2" borderId="12" xfId="0" applyNumberFormat="1" applyFont="1" applyFill="1" applyBorder="1" applyAlignment="1">
      <alignment horizontal="center"/>
    </xf>
    <xf numFmtId="1" fontId="0" fillId="2" borderId="17" xfId="0" applyNumberFormat="1" applyFont="1" applyFill="1" applyBorder="1" applyAlignment="1">
      <alignment horizontal="center"/>
    </xf>
    <xf numFmtId="1" fontId="0" fillId="2" borderId="12" xfId="0" applyNumberFormat="1" applyFont="1" applyFill="1" applyBorder="1" applyAlignment="1">
      <alignment horizontal="center"/>
    </xf>
    <xf numFmtId="3" fontId="0" fillId="0" borderId="0" xfId="0" quotePrefix="1" applyNumberFormat="1" applyFont="1" applyAlignment="1">
      <alignment horizontal="center"/>
    </xf>
    <xf numFmtId="3" fontId="13" fillId="0" borderId="0" xfId="0" applyNumberFormat="1" applyFont="1" applyAlignment="1">
      <alignment horizontal="center"/>
    </xf>
    <xf numFmtId="3" fontId="5" fillId="0" borderId="0" xfId="0" applyNumberFormat="1" applyFont="1"/>
    <xf numFmtId="1" fontId="0" fillId="0" borderId="23" xfId="0" applyNumberFormat="1" applyFont="1" applyBorder="1" applyAlignment="1">
      <alignment horizontal="center"/>
    </xf>
    <xf numFmtId="1" fontId="0" fillId="0" borderId="24" xfId="0" applyNumberFormat="1" applyFont="1" applyBorder="1" applyAlignment="1">
      <alignment horizontal="center"/>
    </xf>
    <xf numFmtId="3" fontId="0" fillId="0" borderId="0" xfId="0" applyNumberFormat="1" applyFont="1" applyBorder="1" applyAlignment="1">
      <alignment horizontal="center"/>
    </xf>
    <xf numFmtId="3" fontId="0" fillId="0" borderId="20" xfId="0" applyNumberFormat="1" applyFont="1" applyBorder="1" applyAlignment="1">
      <alignment horizontal="center"/>
    </xf>
    <xf numFmtId="1" fontId="0" fillId="0" borderId="0" xfId="0" applyNumberFormat="1" applyFont="1" applyFill="1" applyBorder="1" applyAlignment="1">
      <alignment horizontal="left"/>
    </xf>
    <xf numFmtId="0" fontId="0" fillId="0" borderId="0" xfId="0" applyFont="1" applyAlignment="1">
      <alignment horizontal="right"/>
    </xf>
    <xf numFmtId="170" fontId="13" fillId="0" borderId="0" xfId="0" applyNumberFormat="1" applyFont="1" applyAlignment="1">
      <alignment horizontal="center"/>
    </xf>
    <xf numFmtId="170" fontId="6" fillId="0" borderId="0" xfId="0" applyNumberFormat="1" applyFont="1" applyAlignment="1">
      <alignment horizontal="center"/>
    </xf>
    <xf numFmtId="0" fontId="13" fillId="0" borderId="0" xfId="0" applyFont="1" applyAlignment="1">
      <alignment horizontal="left"/>
    </xf>
    <xf numFmtId="3" fontId="6" fillId="0" borderId="0" xfId="0" applyNumberFormat="1" applyFont="1" applyAlignment="1">
      <alignment horizontal="center"/>
    </xf>
    <xf numFmtId="3" fontId="13" fillId="0" borderId="16" xfId="0" applyNumberFormat="1" applyFont="1" applyBorder="1" applyAlignment="1">
      <alignment horizontal="right"/>
    </xf>
    <xf numFmtId="3" fontId="14" fillId="4" borderId="11" xfId="3" applyNumberFormat="1" applyFont="1" applyBorder="1"/>
    <xf numFmtId="3" fontId="14" fillId="4" borderId="23" xfId="3" applyNumberFormat="1" applyFont="1" applyBorder="1"/>
    <xf numFmtId="3" fontId="14" fillId="4" borderId="23" xfId="3" applyNumberFormat="1" applyFont="1" applyBorder="1" applyAlignment="1">
      <alignment horizontal="right"/>
    </xf>
    <xf numFmtId="170" fontId="14" fillId="4" borderId="24" xfId="3" applyNumberFormat="1" applyFont="1" applyBorder="1" applyAlignment="1">
      <alignment horizontal="center"/>
    </xf>
    <xf numFmtId="10" fontId="0" fillId="0" borderId="0" xfId="1" applyNumberFormat="1" applyFont="1" applyAlignment="1">
      <alignment horizontal="left"/>
    </xf>
    <xf numFmtId="10" fontId="0" fillId="0" borderId="0" xfId="1" applyNumberFormat="1" applyFont="1"/>
    <xf numFmtId="0" fontId="0" fillId="0" borderId="0" xfId="0" applyAlignment="1">
      <alignment horizontal="center"/>
    </xf>
    <xf numFmtId="3" fontId="0" fillId="2" borderId="22" xfId="0" applyNumberFormat="1" applyFont="1" applyFill="1" applyBorder="1"/>
    <xf numFmtId="10" fontId="0" fillId="2" borderId="22" xfId="1" applyNumberFormat="1" applyFont="1" applyFill="1" applyBorder="1" applyAlignment="1">
      <alignment horizontal="center"/>
    </xf>
    <xf numFmtId="10" fontId="0" fillId="2" borderId="10" xfId="1" applyNumberFormat="1" applyFont="1" applyFill="1" applyBorder="1" applyAlignment="1">
      <alignment horizontal="center"/>
    </xf>
    <xf numFmtId="10" fontId="0" fillId="2" borderId="20" xfId="1" applyNumberFormat="1" applyFont="1" applyFill="1" applyBorder="1" applyAlignment="1">
      <alignment horizontal="center"/>
    </xf>
    <xf numFmtId="0" fontId="20" fillId="6" borderId="0" xfId="7" applyFont="1" applyAlignment="1">
      <alignment horizontal="center"/>
    </xf>
    <xf numFmtId="10" fontId="20" fillId="6" borderId="0" xfId="7" applyNumberFormat="1" applyFont="1" applyAlignment="1">
      <alignment horizontal="left"/>
    </xf>
    <xf numFmtId="3" fontId="0" fillId="7" borderId="0" xfId="8" applyNumberFormat="1" applyFont="1" applyAlignment="1">
      <alignment horizontal="center"/>
    </xf>
    <xf numFmtId="10" fontId="0" fillId="7" borderId="0" xfId="8" applyNumberFormat="1" applyFont="1" applyAlignment="1">
      <alignment horizontal="left"/>
    </xf>
    <xf numFmtId="3" fontId="2" fillId="0" borderId="0" xfId="0" applyNumberFormat="1" applyFont="1"/>
    <xf numFmtId="171" fontId="0" fillId="0" borderId="0" xfId="5" applyNumberFormat="1" applyFont="1"/>
    <xf numFmtId="3" fontId="0" fillId="0" borderId="0" xfId="0" applyNumberFormat="1" applyFont="1" applyAlignment="1">
      <alignment horizontal="left"/>
    </xf>
    <xf numFmtId="171" fontId="38" fillId="0" borderId="0" xfId="3" applyNumberFormat="1" applyFont="1" applyFill="1"/>
    <xf numFmtId="3" fontId="2" fillId="0" borderId="0" xfId="0" applyNumberFormat="1" applyFont="1" applyAlignment="1">
      <alignment horizontal="right"/>
    </xf>
    <xf numFmtId="171" fontId="0" fillId="0" borderId="0" xfId="5" applyNumberFormat="1" applyFont="1" applyAlignment="1">
      <alignment horizontal="center"/>
    </xf>
    <xf numFmtId="3" fontId="7" fillId="0" borderId="0" xfId="0" quotePrefix="1" applyNumberFormat="1" applyFont="1"/>
    <xf numFmtId="171" fontId="5" fillId="0" borderId="0" xfId="5" applyNumberFormat="1" applyFont="1"/>
    <xf numFmtId="171" fontId="26" fillId="0" borderId="13" xfId="3" applyNumberFormat="1" applyFont="1" applyFill="1" applyBorder="1"/>
    <xf numFmtId="3" fontId="24" fillId="0" borderId="0" xfId="0" applyNumberFormat="1" applyFont="1"/>
    <xf numFmtId="171" fontId="26" fillId="0" borderId="0" xfId="3" applyNumberFormat="1" applyFont="1" applyFill="1"/>
    <xf numFmtId="3" fontId="22" fillId="0" borderId="0" xfId="0" applyNumberFormat="1" applyFont="1"/>
    <xf numFmtId="3" fontId="22" fillId="0" borderId="0" xfId="0" applyNumberFormat="1" applyFont="1" applyAlignment="1">
      <alignment horizontal="center"/>
    </xf>
    <xf numFmtId="171" fontId="22" fillId="0" borderId="0" xfId="5" applyNumberFormat="1" applyFont="1"/>
    <xf numFmtId="3" fontId="39" fillId="0" borderId="0" xfId="0" applyNumberFormat="1" applyFont="1"/>
    <xf numFmtId="171" fontId="13" fillId="0" borderId="0" xfId="5" applyNumberFormat="1" applyFont="1"/>
    <xf numFmtId="0" fontId="0" fillId="0" borderId="0" xfId="0" applyFont="1" applyBorder="1"/>
    <xf numFmtId="166" fontId="0" fillId="0" borderId="0" xfId="4" applyNumberFormat="1" applyFont="1" applyBorder="1" applyProtection="1">
      <protection locked="0"/>
    </xf>
    <xf numFmtId="171" fontId="20" fillId="6" borderId="16" xfId="7" applyNumberFormat="1" applyFont="1" applyBorder="1"/>
    <xf numFmtId="171" fontId="19" fillId="5" borderId="16" xfId="6" applyNumberFormat="1" applyFont="1" applyBorder="1"/>
    <xf numFmtId="171" fontId="20" fillId="6" borderId="0" xfId="7" applyNumberFormat="1" applyFont="1"/>
    <xf numFmtId="171" fontId="19" fillId="5" borderId="0" xfId="6" applyNumberFormat="1" applyFont="1"/>
    <xf numFmtId="171" fontId="14" fillId="4" borderId="13" xfId="3" applyNumberFormat="1" applyFont="1" applyBorder="1"/>
    <xf numFmtId="3" fontId="14" fillId="4" borderId="11" xfId="3" applyNumberFormat="1" applyFont="1" applyBorder="1" applyAlignment="1">
      <alignment horizontal="center"/>
    </xf>
    <xf numFmtId="171" fontId="14" fillId="4" borderId="24" xfId="3" applyNumberFormat="1" applyFont="1" applyBorder="1"/>
    <xf numFmtId="3" fontId="2" fillId="2" borderId="0" xfId="0" applyNumberFormat="1" applyFont="1" applyFill="1"/>
    <xf numFmtId="3" fontId="20" fillId="2" borderId="23" xfId="7" applyNumberFormat="1" applyFont="1" applyFill="1" applyBorder="1"/>
    <xf numFmtId="3" fontId="20" fillId="2" borderId="24" xfId="7" applyNumberFormat="1" applyFont="1" applyFill="1" applyBorder="1"/>
    <xf numFmtId="171" fontId="0" fillId="2" borderId="24" xfId="5" applyNumberFormat="1" applyFont="1" applyFill="1" applyBorder="1"/>
    <xf numFmtId="171" fontId="0" fillId="2" borderId="20" xfId="5" applyNumberFormat="1" applyFont="1" applyFill="1" applyBorder="1"/>
    <xf numFmtId="171" fontId="0" fillId="2" borderId="10" xfId="5" applyNumberFormat="1" applyFont="1" applyFill="1" applyBorder="1"/>
    <xf numFmtId="171" fontId="0" fillId="2" borderId="18" xfId="5" applyNumberFormat="1" applyFont="1" applyFill="1" applyBorder="1"/>
    <xf numFmtId="3" fontId="0" fillId="2" borderId="7" xfId="0" applyNumberFormat="1" applyFont="1" applyFill="1" applyBorder="1"/>
    <xf numFmtId="3" fontId="16" fillId="2" borderId="11" xfId="7" applyNumberFormat="1" applyFont="1" applyFill="1" applyBorder="1"/>
    <xf numFmtId="3" fontId="16" fillId="2" borderId="24" xfId="7" applyNumberFormat="1" applyFont="1" applyFill="1" applyBorder="1"/>
    <xf numFmtId="0" fontId="2" fillId="2" borderId="0" xfId="0" applyFont="1" applyFill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164" fontId="1" fillId="0" borderId="0" xfId="4" applyFont="1"/>
    <xf numFmtId="0" fontId="6" fillId="2" borderId="0" xfId="0" applyFont="1" applyFill="1" applyBorder="1" applyAlignment="1" applyProtection="1">
      <alignment horizontal="left"/>
    </xf>
    <xf numFmtId="43" fontId="0" fillId="0" borderId="0" xfId="0" applyNumberFormat="1" applyFont="1" applyAlignment="1" applyProtection="1">
      <alignment horizontal="center"/>
      <protection locked="0"/>
    </xf>
    <xf numFmtId="164" fontId="0" fillId="0" borderId="0" xfId="0" applyNumberFormat="1" applyFont="1" applyAlignment="1" applyProtection="1">
      <alignment horizontal="center"/>
      <protection locked="0"/>
    </xf>
    <xf numFmtId="2" fontId="14" fillId="4" borderId="13" xfId="3" applyNumberFormat="1" applyBorder="1" applyAlignment="1" applyProtection="1">
      <alignment horizontal="center"/>
      <protection locked="0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2" fillId="0" borderId="0" xfId="0" applyFont="1" applyAlignment="1">
      <alignment horizontal="center" wrapText="1"/>
    </xf>
    <xf numFmtId="0" fontId="8" fillId="2" borderId="3" xfId="2" quotePrefix="1" applyFont="1" applyFill="1" applyBorder="1" applyAlignment="1" applyProtection="1">
      <alignment horizontal="right"/>
    </xf>
    <xf numFmtId="0" fontId="8" fillId="0" borderId="4" xfId="2" applyFont="1" applyBorder="1" applyAlignment="1">
      <alignment horizontal="right"/>
    </xf>
    <xf numFmtId="0" fontId="8" fillId="2" borderId="4" xfId="2" quotePrefix="1" applyFont="1" applyFill="1" applyBorder="1" applyAlignment="1" applyProtection="1">
      <alignment horizontal="right"/>
    </xf>
    <xf numFmtId="0" fontId="8" fillId="0" borderId="4" xfId="2" applyFont="1" applyBorder="1" applyAlignment="1"/>
    <xf numFmtId="0" fontId="0" fillId="0" borderId="13" xfId="0" applyFont="1" applyBorder="1" applyAlignment="1" applyProtection="1">
      <alignment horizontal="center"/>
      <protection locked="0"/>
    </xf>
    <xf numFmtId="0" fontId="0" fillId="0" borderId="0" xfId="0" applyFont="1" applyAlignment="1"/>
  </cellXfs>
  <cellStyles count="9">
    <cellStyle name="40% - Accent1" xfId="8" builtinId="31"/>
    <cellStyle name="Bad" xfId="6" builtinId="27"/>
    <cellStyle name="Comma" xfId="4" builtinId="3"/>
    <cellStyle name="Currency" xfId="5" builtinId="4"/>
    <cellStyle name="Good" xfId="3" builtinId="26"/>
    <cellStyle name="Hyperlink" xfId="2" builtinId="8"/>
    <cellStyle name="Neutral" xfId="7" builtinId="28"/>
    <cellStyle name="Normal" xfId="0" builtinId="0"/>
    <cellStyle name="Percent" xfId="1" builtinId="5"/>
  </cellStyles>
  <dxfs count="128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0</xdr:row>
      <xdr:rowOff>0</xdr:rowOff>
    </xdr:from>
    <xdr:to>
      <xdr:col>9</xdr:col>
      <xdr:colOff>111972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0"/>
          <a:ext cx="3379047" cy="794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189230</xdr:colOff>
      <xdr:row>4</xdr:row>
      <xdr:rowOff>15664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75660" cy="7501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6:N30"/>
  <sheetViews>
    <sheetView tabSelected="1" workbookViewId="0"/>
  </sheetViews>
  <sheetFormatPr defaultColWidth="8.7109375" defaultRowHeight="15"/>
  <cols>
    <col min="12" max="12" width="7" customWidth="1"/>
    <col min="13" max="13" width="12.42578125" customWidth="1"/>
  </cols>
  <sheetData>
    <row r="6" spans="1:13" ht="21">
      <c r="A6" s="16" t="s">
        <v>15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</row>
    <row r="8" spans="1:13">
      <c r="A8" t="s">
        <v>16</v>
      </c>
    </row>
    <row r="10" spans="1:13">
      <c r="A10" t="s">
        <v>17</v>
      </c>
    </row>
    <row r="12" spans="1:13">
      <c r="A12" t="s">
        <v>18</v>
      </c>
    </row>
    <row r="14" spans="1:13">
      <c r="A14" t="s">
        <v>19</v>
      </c>
    </row>
    <row r="15" spans="1:13">
      <c r="A15" t="s">
        <v>20</v>
      </c>
    </row>
    <row r="17" spans="1:14">
      <c r="A17" t="s">
        <v>21</v>
      </c>
    </row>
    <row r="18" spans="1:14">
      <c r="A18" t="s">
        <v>26</v>
      </c>
    </row>
    <row r="19" spans="1:14">
      <c r="A19" t="s">
        <v>27</v>
      </c>
    </row>
    <row r="20" spans="1:14" ht="15.75" thickBot="1"/>
    <row r="21" spans="1:14" ht="15.75" thickBot="1">
      <c r="A21" t="s">
        <v>25</v>
      </c>
      <c r="N21" s="5"/>
    </row>
    <row r="23" spans="1:14">
      <c r="A23" t="s">
        <v>22</v>
      </c>
    </row>
    <row r="25" spans="1:14">
      <c r="A25" t="s">
        <v>23</v>
      </c>
    </row>
    <row r="26" spans="1:14">
      <c r="A26" t="s">
        <v>24</v>
      </c>
    </row>
    <row r="27" spans="1:14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</row>
    <row r="28" spans="1:14">
      <c r="A28" t="s">
        <v>29</v>
      </c>
    </row>
    <row r="30" spans="1:14" ht="15.75">
      <c r="A30" s="17" t="s">
        <v>28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</row>
  </sheetData>
  <pageMargins left="0.7" right="0.7" top="0.75" bottom="0.75" header="0.3" footer="0.3"/>
  <pageSetup orientation="portrait" horizontalDpi="90" verticalDpi="90" r:id="rId1"/>
  <headerFooter>
    <oddFooter>&amp;L&amp;1#&amp;"Calibri"&amp;10&amp;K000000Internal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M9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3" width="9.140625" style="41"/>
    <col min="14" max="16384" width="9.140625" style="24"/>
  </cols>
  <sheetData>
    <row r="1" spans="1:13">
      <c r="A1" s="7">
        <v>8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  <c r="L1" s="40"/>
    </row>
    <row r="2" spans="1:13">
      <c r="A2" s="25"/>
      <c r="B2" s="22"/>
      <c r="C2" s="22"/>
      <c r="D2" s="22"/>
      <c r="E2" s="22"/>
      <c r="F2" s="22"/>
      <c r="G2" s="22"/>
      <c r="H2" s="22"/>
      <c r="I2" s="26"/>
      <c r="K2" s="40"/>
      <c r="L2" s="40"/>
    </row>
    <row r="3" spans="1:13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s="40"/>
      <c r="L3" s="40"/>
    </row>
    <row r="4" spans="1:13" ht="15" customHeight="1">
      <c r="A4" s="9">
        <f>INDEX('Point Grid'!B:B,MATCH($A$1,'Point Grid'!A:A,0))</f>
        <v>3.75</v>
      </c>
      <c r="B4" s="22"/>
      <c r="C4" s="22"/>
      <c r="D4" s="22"/>
      <c r="E4" s="22"/>
      <c r="F4" s="22"/>
      <c r="G4" s="22"/>
      <c r="H4" s="22"/>
      <c r="I4" s="26"/>
      <c r="K4" s="24" t="s">
        <v>2</v>
      </c>
      <c r="L4" s="24" t="s">
        <v>111</v>
      </c>
      <c r="M4" s="24"/>
    </row>
    <row r="5" spans="1:13" ht="15" customHeight="1">
      <c r="A5" s="25"/>
      <c r="B5" s="22"/>
      <c r="C5" s="22"/>
      <c r="D5" s="22"/>
      <c r="E5" s="22"/>
      <c r="F5" s="22"/>
      <c r="G5" s="22"/>
      <c r="H5" s="22"/>
      <c r="I5" s="26"/>
      <c r="K5" s="24" t="s">
        <v>61</v>
      </c>
      <c r="L5" s="24"/>
      <c r="M5" s="24" t="s">
        <v>109</v>
      </c>
    </row>
    <row r="6" spans="1:13" ht="15" customHeight="1">
      <c r="A6" s="29" t="s">
        <v>2</v>
      </c>
      <c r="B6" s="22" t="s">
        <v>110</v>
      </c>
      <c r="C6" s="22"/>
      <c r="D6" s="22"/>
      <c r="E6" s="22"/>
      <c r="F6" s="22"/>
      <c r="G6" s="22"/>
      <c r="H6" s="22"/>
      <c r="I6" s="26"/>
      <c r="K6" s="24"/>
      <c r="L6" s="24"/>
      <c r="M6" s="24" t="s">
        <v>107</v>
      </c>
    </row>
    <row r="7" spans="1:13" ht="15" customHeight="1" thickBot="1">
      <c r="A7" s="9">
        <f>INDEX('Point Grid'!$C$8:$I$35,MATCH($A$1,'Point Grid'!$A$8:$A$35,0),MATCH(A6,'Point Grid'!$C$7:$I$7,0))</f>
        <v>2</v>
      </c>
      <c r="B7" s="22"/>
      <c r="C7" s="22"/>
      <c r="D7" s="22"/>
      <c r="E7" s="22"/>
      <c r="F7" s="22"/>
      <c r="G7" s="22"/>
      <c r="H7" s="22"/>
      <c r="I7" s="26"/>
      <c r="K7" s="24"/>
      <c r="L7" s="24"/>
      <c r="M7" s="24" t="s">
        <v>106</v>
      </c>
    </row>
    <row r="8" spans="1:13" ht="15" customHeight="1" thickBot="1">
      <c r="A8" s="5"/>
      <c r="B8" s="22"/>
      <c r="C8" s="22"/>
      <c r="D8" s="22"/>
      <c r="E8" s="22"/>
      <c r="F8" s="22"/>
      <c r="G8" s="22"/>
      <c r="H8" s="22"/>
      <c r="I8" s="26"/>
      <c r="K8" s="24"/>
      <c r="L8" s="24"/>
      <c r="M8" s="24" t="s">
        <v>105</v>
      </c>
    </row>
    <row r="9" spans="1:13" ht="15" customHeight="1">
      <c r="A9" s="31"/>
      <c r="B9" s="22"/>
      <c r="C9" s="22"/>
      <c r="D9" s="22"/>
      <c r="E9" s="22"/>
      <c r="F9" s="22"/>
      <c r="G9" s="22"/>
      <c r="H9" s="22"/>
      <c r="I9" s="26"/>
      <c r="K9" s="24"/>
      <c r="L9" s="24"/>
      <c r="M9" s="24" t="s">
        <v>104</v>
      </c>
    </row>
    <row r="10" spans="1:13" ht="15" customHeight="1">
      <c r="A10" s="29" t="s">
        <v>3</v>
      </c>
      <c r="B10" s="22" t="s">
        <v>94</v>
      </c>
      <c r="C10" s="22"/>
      <c r="D10" s="22"/>
      <c r="E10" s="22"/>
      <c r="F10" s="22"/>
      <c r="G10" s="22"/>
      <c r="H10" s="22"/>
      <c r="I10" s="26"/>
      <c r="K10" s="24"/>
      <c r="L10" s="24"/>
      <c r="M10" s="24" t="s">
        <v>108</v>
      </c>
    </row>
    <row r="11" spans="1:13" ht="15" customHeight="1" thickBot="1">
      <c r="A11" s="9">
        <f>INDEX('Point Grid'!$C$8:$I$35,MATCH($A$1,'Point Grid'!$A$8:$A$35,0),MATCH(A10,'Point Grid'!$C$7:$I$7,0))</f>
        <v>0.5</v>
      </c>
      <c r="B11" s="22"/>
      <c r="C11" s="22"/>
      <c r="D11" s="22"/>
      <c r="E11" s="22"/>
      <c r="F11" s="22"/>
      <c r="G11" s="22"/>
      <c r="H11" s="22"/>
      <c r="I11" s="26"/>
      <c r="K11" s="24"/>
      <c r="L11" s="24" t="s">
        <v>116</v>
      </c>
      <c r="M11" s="24"/>
    </row>
    <row r="12" spans="1:13" ht="15" customHeight="1" thickBot="1">
      <c r="A12" s="5"/>
      <c r="B12" s="22"/>
      <c r="C12" s="22"/>
      <c r="D12" s="22"/>
      <c r="E12" s="22"/>
      <c r="F12" s="22"/>
      <c r="G12" s="22"/>
      <c r="H12" s="22"/>
      <c r="I12" s="26"/>
      <c r="K12" s="24"/>
      <c r="L12" s="24"/>
      <c r="M12" s="24" t="s">
        <v>112</v>
      </c>
    </row>
    <row r="13" spans="1:13" ht="15" customHeight="1">
      <c r="A13" s="31"/>
      <c r="B13" s="22"/>
      <c r="C13" s="22"/>
      <c r="D13" s="22"/>
      <c r="E13" s="22"/>
      <c r="F13" s="22"/>
      <c r="G13" s="22"/>
      <c r="H13" s="22"/>
      <c r="I13" s="26"/>
      <c r="K13" s="24"/>
      <c r="L13" s="24"/>
      <c r="M13" s="24" t="s">
        <v>107</v>
      </c>
    </row>
    <row r="14" spans="1:13" ht="15" customHeight="1">
      <c r="A14" s="29" t="s">
        <v>4</v>
      </c>
      <c r="B14" s="22" t="s">
        <v>91</v>
      </c>
      <c r="C14" s="22"/>
      <c r="D14" s="22"/>
      <c r="E14" s="22"/>
      <c r="F14" s="22"/>
      <c r="G14" s="22"/>
      <c r="H14" s="22"/>
      <c r="I14" s="26"/>
      <c r="K14" s="24"/>
      <c r="L14" s="24"/>
      <c r="M14" s="24" t="s">
        <v>113</v>
      </c>
    </row>
    <row r="15" spans="1:13" ht="15" customHeight="1" thickBot="1">
      <c r="A15" s="9">
        <f>INDEX('Point Grid'!$C$8:$I$35,MATCH($A$1,'Point Grid'!$A$8:$A$35,0),MATCH(A14,'Point Grid'!$C$7:$I$7,0))</f>
        <v>1.25</v>
      </c>
      <c r="B15" s="22"/>
      <c r="C15" s="22"/>
      <c r="D15" s="22"/>
      <c r="E15" s="22"/>
      <c r="F15" s="22"/>
      <c r="G15" s="22"/>
      <c r="H15" s="22"/>
      <c r="I15" s="26"/>
      <c r="K15" s="24"/>
      <c r="L15" s="24"/>
      <c r="M15" s="24" t="s">
        <v>105</v>
      </c>
    </row>
    <row r="16" spans="1:13" ht="15" customHeight="1" thickBot="1">
      <c r="A16" s="5"/>
      <c r="B16" s="22"/>
      <c r="C16" s="22"/>
      <c r="D16" s="22"/>
      <c r="E16" s="22"/>
      <c r="F16" s="22"/>
      <c r="G16" s="22"/>
      <c r="H16" s="22"/>
      <c r="I16" s="26"/>
      <c r="K16" s="24"/>
      <c r="L16" s="24"/>
      <c r="M16" s="24" t="s">
        <v>114</v>
      </c>
    </row>
    <row r="17" spans="1:13" ht="15" customHeight="1">
      <c r="A17" s="25"/>
      <c r="B17" s="22"/>
      <c r="C17" s="22"/>
      <c r="D17" s="22"/>
      <c r="E17" s="22"/>
      <c r="F17" s="22"/>
      <c r="G17" s="22"/>
      <c r="H17" s="22"/>
      <c r="I17" s="26"/>
      <c r="K17" s="24"/>
      <c r="L17" s="24"/>
      <c r="M17" s="24" t="s">
        <v>115</v>
      </c>
    </row>
    <row r="18" spans="1:13" ht="15" customHeight="1" thickBot="1">
      <c r="A18" s="27"/>
      <c r="B18" s="27"/>
      <c r="C18" s="27"/>
      <c r="D18" s="27"/>
      <c r="E18" s="27"/>
      <c r="F18" s="27"/>
      <c r="G18" s="27"/>
      <c r="H18" s="27"/>
      <c r="I18" s="28"/>
      <c r="K18" s="24"/>
      <c r="L18" s="24"/>
      <c r="M18" s="24"/>
    </row>
    <row r="19" spans="1:13" ht="15" customHeight="1">
      <c r="A19" s="50"/>
      <c r="B19" s="50"/>
      <c r="C19" s="50"/>
      <c r="D19" s="50"/>
      <c r="E19" s="50"/>
      <c r="F19" s="50"/>
      <c r="G19" s="50"/>
      <c r="H19" s="50"/>
      <c r="I19" s="50"/>
      <c r="K19" s="24" t="s">
        <v>3</v>
      </c>
      <c r="L19" s="24" t="s">
        <v>92</v>
      </c>
      <c r="M19" s="24"/>
    </row>
    <row r="20" spans="1:13" ht="15" customHeight="1">
      <c r="A20" s="50"/>
      <c r="B20" s="50"/>
      <c r="C20" s="50"/>
      <c r="D20" s="50"/>
      <c r="E20" s="50"/>
      <c r="F20" s="50"/>
      <c r="G20" s="50"/>
      <c r="H20" s="50"/>
      <c r="I20" s="50"/>
      <c r="K20" s="24" t="s">
        <v>61</v>
      </c>
      <c r="L20" s="24" t="s">
        <v>101</v>
      </c>
      <c r="M20" s="24"/>
    </row>
    <row r="21" spans="1:13" ht="15" customHeight="1">
      <c r="A21" s="50"/>
      <c r="B21" s="50"/>
      <c r="C21" s="50"/>
      <c r="D21" s="50"/>
      <c r="E21" s="50"/>
      <c r="F21" s="50"/>
      <c r="G21" s="50"/>
      <c r="H21" s="50"/>
      <c r="I21" s="50"/>
      <c r="K21" s="24"/>
      <c r="L21" s="24" t="s">
        <v>234</v>
      </c>
      <c r="M21" s="24"/>
    </row>
    <row r="22" spans="1:13" ht="15" customHeight="1">
      <c r="A22" s="50"/>
      <c r="B22" s="50"/>
      <c r="C22" s="50"/>
      <c r="D22" s="50"/>
      <c r="E22" s="50"/>
      <c r="F22" s="50"/>
      <c r="G22" s="50"/>
      <c r="H22" s="50"/>
      <c r="I22" s="50"/>
      <c r="K22" s="24"/>
      <c r="L22" s="24" t="s">
        <v>102</v>
      </c>
      <c r="M22" s="24"/>
    </row>
    <row r="23" spans="1:13" ht="15" customHeight="1">
      <c r="A23"/>
      <c r="B23"/>
      <c r="C23"/>
      <c r="D23"/>
      <c r="E23"/>
      <c r="F23"/>
      <c r="G23"/>
      <c r="H23"/>
      <c r="I23"/>
      <c r="K23" s="24"/>
      <c r="L23" s="101" t="s">
        <v>103</v>
      </c>
      <c r="M23" s="24"/>
    </row>
    <row r="24" spans="1:13" ht="15" customHeight="1">
      <c r="A24"/>
      <c r="B24"/>
      <c r="C24"/>
      <c r="D24"/>
      <c r="E24"/>
      <c r="F24"/>
      <c r="G24"/>
      <c r="H24"/>
      <c r="I24"/>
      <c r="K24" s="24"/>
      <c r="L24" s="24"/>
      <c r="M24" s="24"/>
    </row>
    <row r="25" spans="1:13" ht="15" customHeight="1">
      <c r="A25"/>
      <c r="B25"/>
      <c r="C25"/>
      <c r="D25"/>
      <c r="E25"/>
      <c r="F25"/>
      <c r="G25"/>
      <c r="H25"/>
      <c r="I25"/>
      <c r="K25" s="24" t="s">
        <v>62</v>
      </c>
      <c r="L25" s="24" t="s">
        <v>93</v>
      </c>
      <c r="M25" s="24"/>
    </row>
    <row r="26" spans="1:13" ht="15" customHeight="1">
      <c r="A26"/>
      <c r="B26"/>
      <c r="C26"/>
      <c r="D26"/>
      <c r="E26"/>
      <c r="F26"/>
      <c r="G26"/>
      <c r="H26"/>
      <c r="I26"/>
      <c r="K26" s="24" t="s">
        <v>61</v>
      </c>
      <c r="L26" s="102" t="s">
        <v>95</v>
      </c>
      <c r="M26" s="24"/>
    </row>
    <row r="27" spans="1:13" ht="15" customHeight="1">
      <c r="A27"/>
      <c r="B27"/>
      <c r="C27"/>
      <c r="D27"/>
      <c r="E27"/>
      <c r="F27"/>
      <c r="G27"/>
      <c r="H27"/>
      <c r="I27"/>
      <c r="K27" s="24"/>
      <c r="L27" s="102" t="s">
        <v>96</v>
      </c>
      <c r="M27" s="24"/>
    </row>
    <row r="28" spans="1:13" ht="15" customHeight="1">
      <c r="A28"/>
      <c r="B28"/>
      <c r="C28"/>
      <c r="D28"/>
      <c r="E28"/>
      <c r="F28"/>
      <c r="G28"/>
      <c r="H28"/>
      <c r="I28"/>
      <c r="K28" s="24"/>
      <c r="L28" s="102" t="s">
        <v>97</v>
      </c>
      <c r="M28" s="24"/>
    </row>
    <row r="29" spans="1:13" ht="15" customHeight="1">
      <c r="A29"/>
      <c r="B29"/>
      <c r="C29"/>
      <c r="D29"/>
      <c r="E29"/>
      <c r="F29"/>
      <c r="G29"/>
      <c r="H29"/>
      <c r="I29"/>
      <c r="K29" s="24"/>
      <c r="L29" s="102" t="s">
        <v>98</v>
      </c>
      <c r="M29" s="24"/>
    </row>
    <row r="30" spans="1:13" ht="15" customHeight="1">
      <c r="A30"/>
      <c r="B30"/>
      <c r="C30"/>
      <c r="D30"/>
      <c r="E30"/>
      <c r="F30"/>
      <c r="G30"/>
      <c r="H30"/>
      <c r="I30"/>
      <c r="K30" s="24"/>
      <c r="L30" s="102" t="s">
        <v>99</v>
      </c>
      <c r="M30" s="24"/>
    </row>
    <row r="31" spans="1:13" ht="15" customHeight="1">
      <c r="A31"/>
      <c r="B31"/>
      <c r="C31"/>
      <c r="D31"/>
      <c r="E31"/>
      <c r="F31"/>
      <c r="G31"/>
      <c r="H31"/>
      <c r="I31"/>
      <c r="K31" s="24"/>
      <c r="L31" s="102" t="s">
        <v>100</v>
      </c>
      <c r="M31" s="24"/>
    </row>
    <row r="32" spans="1:13" ht="15" customHeight="1">
      <c r="K32" s="50"/>
      <c r="L32" s="50"/>
      <c r="M32" s="24"/>
    </row>
    <row r="33" spans="11:13" ht="15" customHeight="1">
      <c r="K33" s="50"/>
      <c r="L33" s="50"/>
      <c r="M33" s="24"/>
    </row>
    <row r="34" spans="11:13" ht="15" customHeight="1">
      <c r="K34" s="50"/>
      <c r="L34" s="50"/>
      <c r="M34" s="24"/>
    </row>
    <row r="35" spans="11:13" ht="15" customHeight="1">
      <c r="K35" s="50"/>
      <c r="L35" s="50"/>
      <c r="M35" s="24"/>
    </row>
    <row r="36" spans="11:13" ht="15" customHeight="1">
      <c r="K36" s="50"/>
      <c r="L36" s="50"/>
      <c r="M36" s="24"/>
    </row>
    <row r="37" spans="11:13" ht="15" customHeight="1">
      <c r="K37" s="50"/>
      <c r="L37" s="50"/>
      <c r="M37" s="24"/>
    </row>
    <row r="38" spans="11:13" ht="15" customHeight="1">
      <c r="K38" s="50"/>
      <c r="L38" s="50"/>
      <c r="M38" s="24"/>
    </row>
    <row r="39" spans="11:13" ht="15" customHeight="1">
      <c r="K39" s="50"/>
      <c r="L39" s="50"/>
      <c r="M39" s="24"/>
    </row>
    <row r="40" spans="11:13" ht="15" customHeight="1">
      <c r="K40" s="50"/>
      <c r="L40" s="50"/>
      <c r="M40" s="24"/>
    </row>
    <row r="41" spans="11:13" ht="15" customHeight="1">
      <c r="K41" s="50"/>
      <c r="L41" s="50"/>
      <c r="M41" s="24"/>
    </row>
    <row r="42" spans="11:13" ht="15" customHeight="1">
      <c r="K42" s="50"/>
      <c r="L42" s="50"/>
      <c r="M42" s="24"/>
    </row>
    <row r="43" spans="11:13" ht="15" customHeight="1">
      <c r="K43" s="50"/>
      <c r="L43" s="50"/>
      <c r="M43" s="24"/>
    </row>
    <row r="44" spans="11:13" ht="15" customHeight="1">
      <c r="K44" s="50"/>
      <c r="L44" s="50"/>
      <c r="M44" s="24"/>
    </row>
    <row r="45" spans="11:13" ht="15" customHeight="1">
      <c r="K45" s="50"/>
      <c r="L45" s="50"/>
      <c r="M45" s="24"/>
    </row>
    <row r="46" spans="11:13" ht="15" customHeight="1">
      <c r="K46" s="50"/>
      <c r="L46" s="50"/>
      <c r="M46" s="24"/>
    </row>
    <row r="47" spans="11:13" ht="15" customHeight="1">
      <c r="K47" s="40"/>
      <c r="L47" s="40"/>
    </row>
    <row r="48" spans="11:13" ht="15" customHeight="1">
      <c r="K48" s="40"/>
      <c r="L48" s="40"/>
    </row>
    <row r="49" spans="11:12" ht="15" customHeight="1">
      <c r="K49" s="40"/>
      <c r="L49" s="40"/>
    </row>
    <row r="50" spans="11:12" ht="15" customHeight="1">
      <c r="K50" s="40"/>
      <c r="L50" s="40"/>
    </row>
    <row r="51" spans="11:12" ht="15" customHeight="1">
      <c r="K51" s="40"/>
      <c r="L51" s="40"/>
    </row>
    <row r="52" spans="11:12" ht="15" customHeight="1">
      <c r="K52" s="40"/>
      <c r="L52" s="40"/>
    </row>
    <row r="53" spans="11:12" ht="15" customHeight="1">
      <c r="K53" s="40"/>
      <c r="L53" s="40"/>
    </row>
    <row r="54" spans="11:12" ht="15" customHeight="1">
      <c r="K54" s="40"/>
      <c r="L54" s="40"/>
    </row>
    <row r="55" spans="11:12" ht="15" customHeight="1">
      <c r="K55" s="40"/>
      <c r="L55" s="40"/>
    </row>
    <row r="56" spans="11:12" ht="15" customHeight="1">
      <c r="K56" s="40"/>
      <c r="L56" s="40"/>
    </row>
    <row r="57" spans="11:12" ht="15" customHeight="1">
      <c r="K57" s="40"/>
      <c r="L57" s="40"/>
    </row>
    <row r="58" spans="11:12" ht="15" customHeight="1">
      <c r="K58" s="40"/>
      <c r="L58" s="40"/>
    </row>
    <row r="59" spans="11:12" ht="15" customHeight="1">
      <c r="K59" s="40"/>
      <c r="L59" s="40"/>
    </row>
    <row r="60" spans="11:12" ht="15" customHeight="1">
      <c r="K60" s="40"/>
      <c r="L60" s="40"/>
    </row>
    <row r="61" spans="11:12" ht="15" customHeight="1">
      <c r="K61" s="40"/>
      <c r="L61" s="40"/>
    </row>
    <row r="62" spans="11:12" ht="15" customHeight="1">
      <c r="K62" s="40"/>
      <c r="L62" s="40"/>
    </row>
    <row r="63" spans="11:12" ht="15" customHeight="1">
      <c r="K63" s="40"/>
      <c r="L63" s="40"/>
    </row>
    <row r="64" spans="11:12" ht="15" customHeight="1">
      <c r="K64" s="40"/>
      <c r="L64" s="40"/>
    </row>
    <row r="65" spans="11:12" ht="15" customHeight="1">
      <c r="K65" s="40"/>
      <c r="L65" s="40"/>
    </row>
    <row r="66" spans="11:12" ht="15" customHeight="1">
      <c r="K66" s="40"/>
      <c r="L66" s="40"/>
    </row>
    <row r="67" spans="11:12" ht="15" customHeight="1">
      <c r="K67" s="40"/>
      <c r="L67" s="40"/>
    </row>
    <row r="68" spans="11:12" ht="15" customHeight="1">
      <c r="K68" s="40"/>
      <c r="L68" s="40"/>
    </row>
    <row r="69" spans="11:12" ht="15" customHeight="1">
      <c r="K69" s="40"/>
      <c r="L69" s="40"/>
    </row>
    <row r="70" spans="11:12" ht="15" customHeight="1">
      <c r="K70" s="40"/>
      <c r="L70" s="40"/>
    </row>
    <row r="71" spans="11:12" ht="15" customHeight="1">
      <c r="K71" s="40"/>
      <c r="L71" s="40"/>
    </row>
    <row r="72" spans="11:12" ht="15" customHeight="1">
      <c r="K72" s="40"/>
      <c r="L72" s="40"/>
    </row>
    <row r="73" spans="11:12" ht="15" customHeight="1">
      <c r="K73" s="40"/>
      <c r="L73" s="40"/>
    </row>
    <row r="74" spans="11:12" ht="15" customHeight="1">
      <c r="K74" s="40"/>
      <c r="L74" s="40"/>
    </row>
    <row r="75" spans="11:12" ht="15" customHeight="1">
      <c r="K75" s="40"/>
      <c r="L75" s="40"/>
    </row>
    <row r="76" spans="11:12" ht="15" customHeight="1">
      <c r="K76" s="40"/>
      <c r="L76" s="40"/>
    </row>
    <row r="77" spans="11:12" ht="15" customHeight="1">
      <c r="K77" s="40"/>
      <c r="L77" s="40"/>
    </row>
    <row r="78" spans="11:12" ht="15" customHeight="1">
      <c r="K78" s="40"/>
      <c r="L78" s="40"/>
    </row>
    <row r="79" spans="11:12" ht="15" customHeight="1">
      <c r="K79" s="40"/>
      <c r="L79" s="40"/>
    </row>
    <row r="80" spans="11:12" ht="15" customHeight="1">
      <c r="K80" s="40"/>
      <c r="L80" s="40"/>
    </row>
    <row r="81" spans="11:12" ht="15" customHeight="1">
      <c r="K81" s="40"/>
      <c r="L81" s="40"/>
    </row>
    <row r="82" spans="11:12" ht="15" customHeight="1">
      <c r="K82" s="40"/>
      <c r="L82" s="40"/>
    </row>
    <row r="83" spans="11:12" ht="15" customHeight="1">
      <c r="K83" s="40"/>
      <c r="L83" s="40"/>
    </row>
    <row r="84" spans="11:12" ht="15" customHeight="1">
      <c r="K84" s="40"/>
      <c r="L84" s="40"/>
    </row>
    <row r="85" spans="11:12" ht="15" customHeight="1">
      <c r="K85" s="40"/>
      <c r="L85" s="40"/>
    </row>
    <row r="86" spans="11:12" ht="15" customHeight="1">
      <c r="K86" s="40"/>
      <c r="L86" s="40"/>
    </row>
    <row r="87" spans="11:12" ht="15" customHeight="1">
      <c r="K87" s="40"/>
      <c r="L87" s="40"/>
    </row>
    <row r="88" spans="11:12" ht="15" customHeight="1">
      <c r="K88" s="40"/>
      <c r="L88" s="40"/>
    </row>
    <row r="89" spans="11:12" ht="15" customHeight="1">
      <c r="K89" s="40"/>
      <c r="L89" s="40"/>
    </row>
    <row r="90" spans="11:12" ht="15" customHeight="1">
      <c r="K90" s="40"/>
      <c r="L90" s="40"/>
    </row>
  </sheetData>
  <mergeCells count="1">
    <mergeCell ref="H1:I1"/>
  </mergeCells>
  <conditionalFormatting sqref="B1">
    <cfRule type="cellIs" dxfId="73" priority="1" operator="equal">
      <formula>"Incomplete"</formula>
    </cfRule>
    <cfRule type="cellIs" dxfId="72" priority="2" operator="equal">
      <formula>"Flag for Review"</formula>
    </cfRule>
    <cfRule type="cellIs" dxfId="71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M9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6384" width="9.140625" style="30"/>
  </cols>
  <sheetData>
    <row r="1" spans="1:13">
      <c r="A1" s="7">
        <v>9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</row>
    <row r="2" spans="1:13">
      <c r="A2" s="25"/>
      <c r="B2" s="22"/>
      <c r="C2" s="22"/>
      <c r="D2" s="22"/>
      <c r="E2" s="22"/>
      <c r="F2" s="22"/>
      <c r="G2" s="22"/>
      <c r="H2" s="22"/>
      <c r="I2" s="26"/>
      <c r="K2"/>
      <c r="L2"/>
      <c r="M2" s="54"/>
    </row>
    <row r="3" spans="1:13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t="s">
        <v>355</v>
      </c>
      <c r="L3" t="s">
        <v>356</v>
      </c>
      <c r="M3" s="54"/>
    </row>
    <row r="4" spans="1:13" ht="15" customHeight="1">
      <c r="A4" s="9">
        <f>INDEX('Point Grid'!B:B,MATCH($A$1,'Point Grid'!A:A,0))</f>
        <v>1.25</v>
      </c>
      <c r="B4" s="49" t="s">
        <v>357</v>
      </c>
      <c r="C4" s="49"/>
      <c r="D4" s="49"/>
      <c r="E4" s="49"/>
      <c r="F4" s="49"/>
      <c r="G4" s="49"/>
      <c r="H4" s="22"/>
      <c r="I4" s="26"/>
      <c r="K4"/>
      <c r="L4" t="s">
        <v>358</v>
      </c>
      <c r="M4" s="54"/>
    </row>
    <row r="5" spans="1:13" ht="15" customHeight="1">
      <c r="A5" s="25"/>
      <c r="B5" s="49"/>
      <c r="C5" s="49"/>
      <c r="D5" s="49"/>
      <c r="E5" s="49"/>
      <c r="F5" s="49"/>
      <c r="G5" s="49"/>
      <c r="H5" s="22"/>
      <c r="I5" s="26"/>
      <c r="K5"/>
      <c r="L5"/>
      <c r="M5" s="54"/>
    </row>
    <row r="6" spans="1:13" ht="15" customHeight="1">
      <c r="A6" s="29" t="s">
        <v>2</v>
      </c>
      <c r="B6" s="49" t="s">
        <v>359</v>
      </c>
      <c r="C6" s="49"/>
      <c r="D6" s="49"/>
      <c r="E6" s="49"/>
      <c r="F6" s="49"/>
      <c r="G6" s="49"/>
      <c r="H6" s="22"/>
      <c r="I6" s="26"/>
      <c r="K6" t="s">
        <v>309</v>
      </c>
      <c r="L6" t="s">
        <v>360</v>
      </c>
      <c r="M6" s="54"/>
    </row>
    <row r="7" spans="1:13" ht="15" customHeight="1" thickBot="1">
      <c r="A7" s="9">
        <f>INDEX('Point Grid'!$C$8:$I$35,MATCH($A$1,'Point Grid'!$A$8:$A$35,0),MATCH(A6,'Point Grid'!$C$7:$I$7,0))</f>
        <v>0.5</v>
      </c>
      <c r="B7" s="49"/>
      <c r="C7" s="49"/>
      <c r="D7" s="49"/>
      <c r="E7" s="49"/>
      <c r="F7" s="49"/>
      <c r="G7" s="49"/>
      <c r="H7" s="22"/>
      <c r="I7" s="26"/>
      <c r="K7"/>
      <c r="L7" s="62" t="s">
        <v>361</v>
      </c>
      <c r="M7" s="54"/>
    </row>
    <row r="8" spans="1:13" ht="15" customHeight="1" thickBot="1">
      <c r="A8" s="5"/>
      <c r="B8" s="49"/>
      <c r="C8" s="49"/>
      <c r="D8" s="49"/>
      <c r="E8" s="49"/>
      <c r="F8" s="49"/>
      <c r="G8" s="49"/>
      <c r="H8" s="22"/>
      <c r="I8" s="26"/>
      <c r="K8"/>
      <c r="L8" s="62" t="s">
        <v>362</v>
      </c>
      <c r="M8" s="54"/>
    </row>
    <row r="9" spans="1:13" ht="15" customHeight="1">
      <c r="A9" s="31"/>
      <c r="B9" s="49"/>
      <c r="C9" s="49"/>
      <c r="D9" s="49"/>
      <c r="E9" s="49"/>
      <c r="F9" s="49"/>
      <c r="G9" s="49"/>
      <c r="H9" s="22"/>
      <c r="I9" s="26"/>
      <c r="K9"/>
      <c r="L9" s="62" t="s">
        <v>953</v>
      </c>
      <c r="M9" s="54"/>
    </row>
    <row r="10" spans="1:13" ht="15" customHeight="1">
      <c r="A10" s="29" t="s">
        <v>3</v>
      </c>
      <c r="B10" s="49" t="s">
        <v>363</v>
      </c>
      <c r="C10" s="49"/>
      <c r="D10" s="49"/>
      <c r="E10" s="49"/>
      <c r="F10" s="49"/>
      <c r="G10" s="49"/>
      <c r="H10" s="22"/>
      <c r="I10" s="26"/>
      <c r="K10"/>
      <c r="L10" s="62" t="s">
        <v>364</v>
      </c>
      <c r="M10" s="54"/>
    </row>
    <row r="11" spans="1:13" ht="15" customHeight="1" thickBot="1">
      <c r="A11" s="9">
        <f>INDEX('Point Grid'!$C$8:$I$35,MATCH($A$1,'Point Grid'!$A$8:$A$35,0),MATCH(A10,'Point Grid'!$C$7:$I$7,0))</f>
        <v>0.75</v>
      </c>
      <c r="B11" s="22"/>
      <c r="C11" s="22"/>
      <c r="D11" s="22"/>
      <c r="E11" s="22"/>
      <c r="F11" s="22"/>
      <c r="G11" s="22"/>
      <c r="H11" s="22"/>
      <c r="I11" s="26"/>
      <c r="K11"/>
      <c r="L11" s="62" t="s">
        <v>365</v>
      </c>
      <c r="M11" s="54"/>
    </row>
    <row r="12" spans="1:13" ht="15" customHeight="1" thickBot="1">
      <c r="A12" s="5"/>
      <c r="B12" s="22"/>
      <c r="C12" s="22"/>
      <c r="D12" s="22"/>
      <c r="E12" s="22"/>
      <c r="F12" s="22"/>
      <c r="G12" s="22"/>
      <c r="H12" s="22"/>
      <c r="I12" s="26"/>
      <c r="K12"/>
      <c r="L12"/>
      <c r="M12" s="54"/>
    </row>
    <row r="13" spans="1:13" ht="15" customHeight="1">
      <c r="A13" s="31"/>
      <c r="B13" s="22"/>
      <c r="C13" s="22"/>
      <c r="D13" s="22"/>
      <c r="E13" s="22"/>
      <c r="F13" s="22"/>
      <c r="G13" s="22"/>
      <c r="H13" s="22"/>
      <c r="I13" s="26"/>
      <c r="K13"/>
      <c r="L13"/>
      <c r="M13" s="54"/>
    </row>
    <row r="14" spans="1:13" ht="15" customHeight="1" thickBot="1">
      <c r="A14" s="27"/>
      <c r="B14" s="27"/>
      <c r="C14" s="27"/>
      <c r="D14" s="27"/>
      <c r="E14" s="27"/>
      <c r="F14" s="27"/>
      <c r="G14" s="27"/>
      <c r="H14" s="27"/>
      <c r="I14" s="28"/>
      <c r="K14"/>
      <c r="L14"/>
      <c r="M14" s="54"/>
    </row>
    <row r="15" spans="1:13" ht="15" customHeight="1">
      <c r="A15"/>
      <c r="B15"/>
      <c r="C15"/>
      <c r="D15"/>
      <c r="E15"/>
      <c r="F15"/>
      <c r="G15"/>
      <c r="H15"/>
      <c r="I15"/>
      <c r="J15"/>
      <c r="K15"/>
      <c r="L15"/>
      <c r="M15" s="54"/>
    </row>
    <row r="16" spans="1:13" ht="15" customHeight="1">
      <c r="A16"/>
      <c r="B16"/>
      <c r="C16"/>
      <c r="D16"/>
      <c r="E16"/>
      <c r="F16"/>
      <c r="G16"/>
      <c r="H16"/>
      <c r="I16"/>
      <c r="J16"/>
      <c r="K16"/>
      <c r="L16"/>
      <c r="M16" s="54"/>
    </row>
    <row r="17" spans="1:13" ht="15" customHeight="1">
      <c r="A17"/>
      <c r="B17"/>
      <c r="C17"/>
      <c r="D17"/>
      <c r="E17"/>
      <c r="F17"/>
      <c r="G17"/>
      <c r="H17"/>
      <c r="I17"/>
      <c r="J17"/>
      <c r="K17"/>
      <c r="L17"/>
      <c r="M17" s="54"/>
    </row>
    <row r="18" spans="1:13" ht="15" customHeight="1">
      <c r="A18"/>
      <c r="B18"/>
      <c r="C18"/>
      <c r="D18"/>
      <c r="E18"/>
      <c r="F18"/>
      <c r="G18"/>
      <c r="H18"/>
      <c r="I18"/>
      <c r="J18"/>
      <c r="K18"/>
      <c r="L18"/>
      <c r="M18" s="54"/>
    </row>
    <row r="19" spans="1:13" ht="15" customHeight="1">
      <c r="A19"/>
      <c r="B19"/>
      <c r="C19"/>
      <c r="D19"/>
      <c r="E19"/>
      <c r="F19"/>
      <c r="G19"/>
      <c r="H19"/>
      <c r="I19"/>
      <c r="J19"/>
      <c r="K19"/>
      <c r="L19"/>
      <c r="M19" s="54"/>
    </row>
    <row r="20" spans="1:13" ht="15" customHeight="1">
      <c r="A20"/>
      <c r="B20"/>
      <c r="C20"/>
      <c r="D20"/>
      <c r="E20"/>
      <c r="F20"/>
      <c r="G20"/>
      <c r="H20"/>
      <c r="I20"/>
      <c r="J20"/>
      <c r="K20"/>
      <c r="L20"/>
      <c r="M20" s="54"/>
    </row>
    <row r="21" spans="1:13" ht="15" customHeight="1">
      <c r="A21"/>
      <c r="B21"/>
      <c r="C21"/>
      <c r="D21"/>
      <c r="E21"/>
      <c r="F21"/>
      <c r="G21"/>
      <c r="H21"/>
      <c r="I21"/>
      <c r="J21"/>
      <c r="K21"/>
      <c r="L21"/>
      <c r="M21" s="54"/>
    </row>
    <row r="22" spans="1:13" ht="15" customHeight="1">
      <c r="A22"/>
      <c r="B22"/>
      <c r="C22"/>
      <c r="D22"/>
      <c r="E22"/>
      <c r="F22"/>
      <c r="G22"/>
      <c r="H22"/>
      <c r="I22"/>
      <c r="J22"/>
      <c r="K22"/>
      <c r="L22"/>
      <c r="M22" s="54"/>
    </row>
    <row r="23" spans="1:13" ht="15" customHeight="1">
      <c r="A23"/>
      <c r="B23"/>
      <c r="C23"/>
      <c r="D23"/>
      <c r="E23"/>
      <c r="F23"/>
      <c r="G23"/>
      <c r="H23"/>
      <c r="I23"/>
      <c r="J23"/>
      <c r="K23"/>
      <c r="L23"/>
      <c r="M23" s="54"/>
    </row>
    <row r="24" spans="1:13" ht="15" customHeight="1">
      <c r="A24"/>
      <c r="B24"/>
      <c r="C24"/>
      <c r="D24"/>
      <c r="E24"/>
      <c r="F24"/>
      <c r="G24"/>
      <c r="H24"/>
      <c r="I24"/>
      <c r="J24"/>
      <c r="K24"/>
      <c r="L24"/>
      <c r="M24" s="54"/>
    </row>
    <row r="25" spans="1:13" ht="15" customHeight="1">
      <c r="A25"/>
      <c r="B25"/>
      <c r="C25"/>
      <c r="D25"/>
      <c r="E25"/>
      <c r="F25"/>
      <c r="G25"/>
      <c r="H25"/>
      <c r="I25"/>
      <c r="J25"/>
      <c r="K25"/>
      <c r="L25"/>
      <c r="M25" s="54"/>
    </row>
    <row r="26" spans="1:13" ht="15" customHeight="1">
      <c r="A26"/>
      <c r="B26"/>
      <c r="C26"/>
      <c r="D26"/>
      <c r="E26"/>
      <c r="F26"/>
      <c r="G26"/>
      <c r="H26"/>
      <c r="I26"/>
      <c r="J26"/>
      <c r="K26"/>
      <c r="L26"/>
      <c r="M26" s="54"/>
    </row>
    <row r="27" spans="1:13" ht="15" customHeight="1">
      <c r="A27"/>
      <c r="B27"/>
      <c r="C27"/>
      <c r="D27"/>
      <c r="E27"/>
      <c r="F27"/>
      <c r="G27"/>
      <c r="H27"/>
      <c r="I27"/>
      <c r="J27"/>
      <c r="K27"/>
      <c r="L27"/>
      <c r="M27" s="54"/>
    </row>
    <row r="28" spans="1:13" ht="15" customHeight="1">
      <c r="A28"/>
      <c r="B28"/>
      <c r="C28"/>
      <c r="D28"/>
      <c r="E28"/>
      <c r="F28"/>
      <c r="G28"/>
      <c r="H28"/>
      <c r="I28"/>
      <c r="J28"/>
      <c r="K28"/>
      <c r="L28"/>
      <c r="M28" s="54"/>
    </row>
    <row r="29" spans="1:13" ht="15" customHeight="1">
      <c r="A29"/>
      <c r="B29"/>
      <c r="C29"/>
      <c r="D29"/>
      <c r="E29"/>
      <c r="F29"/>
      <c r="G29"/>
      <c r="H29"/>
      <c r="I29"/>
      <c r="J29"/>
      <c r="K29"/>
      <c r="L29"/>
      <c r="M29" s="54"/>
    </row>
    <row r="30" spans="1:13" ht="15" customHeight="1">
      <c r="A30"/>
      <c r="B30"/>
      <c r="C30"/>
      <c r="D30"/>
      <c r="E30"/>
      <c r="F30"/>
      <c r="G30"/>
      <c r="H30"/>
      <c r="I30"/>
      <c r="J30"/>
      <c r="K30"/>
      <c r="L30"/>
      <c r="M30" s="54"/>
    </row>
    <row r="31" spans="1:13" ht="15" customHeight="1">
      <c r="A31"/>
      <c r="B31"/>
      <c r="C31"/>
      <c r="D31"/>
      <c r="E31"/>
      <c r="F31"/>
      <c r="G31"/>
      <c r="H31"/>
      <c r="I31"/>
      <c r="J31"/>
      <c r="K31"/>
      <c r="L31"/>
      <c r="M31" s="54"/>
    </row>
    <row r="32" spans="1:13" ht="15" customHeight="1">
      <c r="A32"/>
      <c r="B32"/>
      <c r="C32"/>
      <c r="D32"/>
      <c r="E32"/>
      <c r="F32"/>
      <c r="G32"/>
      <c r="H32"/>
      <c r="I32"/>
      <c r="J32"/>
      <c r="K32"/>
      <c r="L32"/>
      <c r="M32" s="54"/>
    </row>
    <row r="33" spans="1:13" ht="15" customHeight="1">
      <c r="A33"/>
      <c r="B33"/>
      <c r="C33"/>
      <c r="D33"/>
      <c r="E33"/>
      <c r="F33"/>
      <c r="G33"/>
      <c r="H33"/>
      <c r="I33"/>
      <c r="J33"/>
      <c r="K33"/>
      <c r="L33"/>
      <c r="M33" s="54"/>
    </row>
    <row r="34" spans="1:13" ht="15" customHeight="1">
      <c r="A34"/>
      <c r="B34"/>
      <c r="C34"/>
      <c r="D34"/>
      <c r="E34"/>
      <c r="F34"/>
      <c r="G34"/>
      <c r="H34"/>
      <c r="I34"/>
      <c r="J34"/>
      <c r="K34"/>
      <c r="L34"/>
      <c r="M34" s="54"/>
    </row>
    <row r="35" spans="1:13" ht="15" customHeight="1">
      <c r="K35"/>
      <c r="L35"/>
      <c r="M35" s="54"/>
    </row>
    <row r="36" spans="1:13" ht="15" customHeight="1">
      <c r="K36"/>
      <c r="L36"/>
      <c r="M36" s="54"/>
    </row>
    <row r="37" spans="1:13" ht="15" customHeight="1">
      <c r="K37"/>
      <c r="L37"/>
      <c r="M37" s="54"/>
    </row>
    <row r="38" spans="1:13" ht="15" customHeight="1">
      <c r="K38"/>
      <c r="L38"/>
      <c r="M38" s="54"/>
    </row>
    <row r="39" spans="1:13" ht="15" customHeight="1">
      <c r="K39"/>
      <c r="L39"/>
      <c r="M39" s="54"/>
    </row>
    <row r="40" spans="1:13" ht="15" customHeight="1">
      <c r="K40"/>
      <c r="L40"/>
      <c r="M40" s="54"/>
    </row>
    <row r="41" spans="1:13" ht="15" customHeight="1">
      <c r="K41"/>
      <c r="L41"/>
      <c r="M41" s="54"/>
    </row>
    <row r="42" spans="1:13" ht="15" customHeight="1">
      <c r="K42"/>
      <c r="L42"/>
      <c r="M42" s="54"/>
    </row>
    <row r="43" spans="1:13" ht="15" customHeight="1">
      <c r="K43"/>
      <c r="L43"/>
      <c r="M43" s="54"/>
    </row>
    <row r="44" spans="1:13" ht="15" customHeight="1">
      <c r="K44"/>
      <c r="L44"/>
      <c r="M44" s="54"/>
    </row>
    <row r="45" spans="1:13" ht="15" customHeight="1">
      <c r="K45"/>
      <c r="L45"/>
      <c r="M45" s="54"/>
    </row>
    <row r="46" spans="1:13" ht="15" customHeight="1">
      <c r="K46"/>
      <c r="L46"/>
      <c r="M46" s="54"/>
    </row>
    <row r="47" spans="1:13" ht="15" customHeight="1">
      <c r="K47"/>
      <c r="L47"/>
      <c r="M47" s="54"/>
    </row>
    <row r="48" spans="1:13" ht="15" customHeight="1">
      <c r="K48"/>
      <c r="L48"/>
      <c r="M48" s="54"/>
    </row>
    <row r="49" spans="11:13" ht="15" customHeight="1">
      <c r="K49"/>
      <c r="L49"/>
      <c r="M49" s="54"/>
    </row>
    <row r="50" spans="11:13" ht="15" customHeight="1">
      <c r="K50"/>
      <c r="L50"/>
      <c r="M50" s="54"/>
    </row>
    <row r="51" spans="11:13" ht="15" customHeight="1">
      <c r="K51"/>
      <c r="L51"/>
      <c r="M51" s="54"/>
    </row>
    <row r="52" spans="11:13" ht="15" customHeight="1">
      <c r="K52"/>
      <c r="L52"/>
      <c r="M52" s="54"/>
    </row>
    <row r="53" spans="11:13" ht="15" customHeight="1">
      <c r="K53"/>
      <c r="L53"/>
      <c r="M53" s="54"/>
    </row>
    <row r="54" spans="11:13" ht="15" customHeight="1">
      <c r="K54"/>
      <c r="L54"/>
      <c r="M54" s="54"/>
    </row>
    <row r="55" spans="11:13" ht="15" customHeight="1">
      <c r="K55"/>
      <c r="L55"/>
      <c r="M55" s="54"/>
    </row>
    <row r="56" spans="11:13" ht="15" customHeight="1">
      <c r="K56"/>
      <c r="L56"/>
      <c r="M56" s="54"/>
    </row>
    <row r="57" spans="11:13" ht="15" customHeight="1">
      <c r="K57"/>
      <c r="L57"/>
      <c r="M57" s="54"/>
    </row>
    <row r="58" spans="11:13" ht="15" customHeight="1">
      <c r="K58"/>
      <c r="L58"/>
      <c r="M58" s="54"/>
    </row>
    <row r="59" spans="11:13" ht="15" customHeight="1"/>
    <row r="60" spans="11:13" ht="15" customHeight="1"/>
    <row r="61" spans="11:13" ht="15" customHeight="1"/>
    <row r="62" spans="11:13" ht="15" customHeight="1"/>
    <row r="63" spans="11:13" ht="15" customHeight="1"/>
    <row r="64" spans="11:13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</sheetData>
  <mergeCells count="1">
    <mergeCell ref="H1:I1"/>
  </mergeCells>
  <conditionalFormatting sqref="B1">
    <cfRule type="cellIs" dxfId="70" priority="1" operator="equal">
      <formula>"Incomplete"</formula>
    </cfRule>
    <cfRule type="cellIs" dxfId="69" priority="2" operator="equal">
      <formula>"Flag for Review"</formula>
    </cfRule>
    <cfRule type="cellIs" dxfId="68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N91"/>
  <sheetViews>
    <sheetView zoomScaleNormal="100"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3" width="9.140625" style="41"/>
    <col min="14" max="16384" width="9.140625" style="24"/>
  </cols>
  <sheetData>
    <row r="1" spans="1:13">
      <c r="A1" s="7">
        <v>10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  <c r="L1" s="24"/>
      <c r="M1" s="24"/>
    </row>
    <row r="2" spans="1:13" ht="15" customHeight="1">
      <c r="A2" s="25"/>
      <c r="B2" s="22"/>
      <c r="C2" s="22"/>
      <c r="D2" s="22"/>
      <c r="E2" s="22"/>
      <c r="F2" s="22"/>
      <c r="G2" s="22"/>
      <c r="H2" s="22"/>
      <c r="I2" s="26"/>
      <c r="K2" s="24"/>
      <c r="L2" s="24"/>
      <c r="M2" s="24"/>
    </row>
    <row r="3" spans="1:13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s="24"/>
      <c r="L3" s="24"/>
      <c r="M3" s="24"/>
    </row>
    <row r="4" spans="1:13" ht="15" customHeight="1">
      <c r="A4" s="9">
        <f>INDEX('Point Grid'!B:B,MATCH($A$1,'Point Grid'!A:A,0))</f>
        <v>2</v>
      </c>
      <c r="B4" s="22"/>
      <c r="C4" s="22"/>
      <c r="D4" s="22"/>
      <c r="E4" s="22"/>
      <c r="F4" s="22"/>
      <c r="G4" s="22"/>
      <c r="H4" s="22"/>
      <c r="I4" s="26"/>
      <c r="K4" s="24"/>
      <c r="L4" s="24"/>
      <c r="M4" s="24"/>
    </row>
    <row r="5" spans="1:13" ht="15" customHeight="1">
      <c r="A5" s="25"/>
      <c r="B5" s="22"/>
      <c r="C5" s="22"/>
      <c r="D5" s="22"/>
      <c r="E5" s="22"/>
      <c r="F5" s="22"/>
      <c r="G5" s="22"/>
      <c r="H5" s="22"/>
      <c r="I5" s="26"/>
      <c r="K5" s="24"/>
      <c r="L5" s="24"/>
      <c r="M5" s="24"/>
    </row>
    <row r="6" spans="1:13" ht="15" customHeight="1">
      <c r="A6" s="29" t="s">
        <v>2</v>
      </c>
      <c r="B6" s="22" t="s">
        <v>33</v>
      </c>
      <c r="C6" s="22"/>
      <c r="D6" s="22"/>
      <c r="E6" s="22"/>
      <c r="F6" s="22"/>
      <c r="G6" s="22"/>
      <c r="H6" s="22"/>
      <c r="I6" s="26"/>
      <c r="K6" s="24" t="s">
        <v>2</v>
      </c>
      <c r="L6" s="24" t="s">
        <v>34</v>
      </c>
      <c r="M6" s="24"/>
    </row>
    <row r="7" spans="1:13" ht="15" customHeight="1" thickBot="1">
      <c r="A7" s="9">
        <f>INDEX('Point Grid'!$C$8:$I$35,MATCH($A$1,'Point Grid'!$A$8:$A$35,0),MATCH(A6,'Point Grid'!$C$7:$I$7,0))</f>
        <v>1</v>
      </c>
      <c r="B7" s="22"/>
      <c r="C7" s="22"/>
      <c r="D7" s="22"/>
      <c r="E7" s="22"/>
      <c r="F7" s="22"/>
      <c r="G7" s="22"/>
      <c r="H7" s="22"/>
      <c r="I7" s="26"/>
      <c r="K7" s="24"/>
      <c r="L7" s="24" t="s">
        <v>35</v>
      </c>
      <c r="M7" s="24"/>
    </row>
    <row r="8" spans="1:13" ht="15" customHeight="1" thickBot="1">
      <c r="A8" s="5"/>
      <c r="B8" s="22"/>
      <c r="C8" s="22"/>
      <c r="D8" s="22"/>
      <c r="E8" s="22"/>
      <c r="F8" s="22"/>
      <c r="G8" s="22"/>
      <c r="H8" s="22"/>
      <c r="I8" s="26"/>
      <c r="K8" s="24"/>
      <c r="L8" s="24"/>
      <c r="M8" s="24" t="s">
        <v>36</v>
      </c>
    </row>
    <row r="9" spans="1:13" ht="15" customHeight="1">
      <c r="A9" s="31"/>
      <c r="B9" s="22"/>
      <c r="C9" s="22"/>
      <c r="D9" s="22"/>
      <c r="E9" s="22"/>
      <c r="F9" s="22"/>
      <c r="G9" s="22"/>
      <c r="H9" s="22"/>
      <c r="I9" s="26"/>
      <c r="K9" s="24"/>
      <c r="L9" s="24"/>
      <c r="M9" s="24" t="s">
        <v>37</v>
      </c>
    </row>
    <row r="10" spans="1:13" ht="15" customHeight="1">
      <c r="A10" s="29" t="s">
        <v>3</v>
      </c>
      <c r="B10" s="22" t="s">
        <v>972</v>
      </c>
      <c r="C10" s="22"/>
      <c r="D10" s="22"/>
      <c r="E10" s="22"/>
      <c r="F10" s="22"/>
      <c r="G10" s="22"/>
      <c r="H10" s="22"/>
      <c r="I10" s="26"/>
      <c r="K10" s="24"/>
      <c r="L10" s="24"/>
      <c r="M10" s="24" t="s">
        <v>38</v>
      </c>
    </row>
    <row r="11" spans="1:13" ht="15" customHeight="1" thickBot="1">
      <c r="A11" s="9">
        <f>INDEX('Point Grid'!$C$8:$I$35,MATCH($A$1,'Point Grid'!$A$8:$A$35,0),MATCH(A10,'Point Grid'!$C$7:$I$7,0))</f>
        <v>1</v>
      </c>
      <c r="B11" s="22"/>
      <c r="C11" s="22"/>
      <c r="D11" s="22"/>
      <c r="E11" s="22"/>
      <c r="F11" s="22"/>
      <c r="G11" s="22"/>
      <c r="H11" s="22"/>
      <c r="I11" s="26"/>
      <c r="K11" s="24"/>
      <c r="L11" s="24"/>
      <c r="M11" s="24" t="s">
        <v>39</v>
      </c>
    </row>
    <row r="12" spans="1:13" ht="15" customHeight="1" thickBot="1">
      <c r="A12" s="5"/>
      <c r="B12" s="22"/>
      <c r="C12" s="22"/>
      <c r="D12" s="22"/>
      <c r="E12" s="22"/>
      <c r="F12" s="22"/>
      <c r="G12" s="22"/>
      <c r="H12" s="22"/>
      <c r="I12" s="26"/>
      <c r="K12" s="24"/>
      <c r="L12" s="24"/>
      <c r="M12" s="24" t="s">
        <v>40</v>
      </c>
    </row>
    <row r="13" spans="1:13" ht="15" customHeight="1">
      <c r="A13" s="25"/>
      <c r="B13" s="22"/>
      <c r="C13" s="22"/>
      <c r="D13" s="22"/>
      <c r="E13" s="22"/>
      <c r="F13" s="22"/>
      <c r="G13" s="22"/>
      <c r="H13" s="22"/>
      <c r="I13" s="26"/>
      <c r="K13" s="24"/>
      <c r="L13" s="24"/>
      <c r="M13" s="24"/>
    </row>
    <row r="14" spans="1:13" ht="15" customHeight="1" thickBot="1">
      <c r="A14" s="27"/>
      <c r="B14" s="27"/>
      <c r="C14" s="27"/>
      <c r="D14" s="27"/>
      <c r="E14" s="27"/>
      <c r="F14" s="27"/>
      <c r="G14" s="27"/>
      <c r="H14" s="27"/>
      <c r="I14" s="28"/>
      <c r="K14" s="24" t="s">
        <v>3</v>
      </c>
      <c r="L14" s="24" t="s">
        <v>34</v>
      </c>
      <c r="M14" s="24"/>
    </row>
    <row r="15" spans="1:13" ht="15" customHeight="1">
      <c r="A15"/>
      <c r="B15"/>
      <c r="C15"/>
      <c r="D15"/>
      <c r="E15"/>
      <c r="F15"/>
      <c r="G15"/>
      <c r="H15"/>
      <c r="I15"/>
      <c r="J15"/>
      <c r="K15" s="24"/>
      <c r="L15" s="24" t="s">
        <v>973</v>
      </c>
      <c r="M15" s="24"/>
    </row>
    <row r="16" spans="1:13" ht="15" customHeight="1">
      <c r="A16"/>
      <c r="B16"/>
      <c r="C16"/>
      <c r="D16"/>
      <c r="E16"/>
      <c r="F16"/>
      <c r="G16"/>
      <c r="H16"/>
      <c r="I16"/>
      <c r="J16"/>
      <c r="K16" s="24"/>
      <c r="L16" s="24"/>
      <c r="M16" s="24" t="s">
        <v>36</v>
      </c>
    </row>
    <row r="17" spans="1:14" ht="15" customHeight="1">
      <c r="A17"/>
      <c r="B17"/>
      <c r="C17"/>
      <c r="D17"/>
      <c r="E17"/>
      <c r="F17"/>
      <c r="G17"/>
      <c r="H17"/>
      <c r="I17"/>
      <c r="J17"/>
      <c r="K17" s="24"/>
      <c r="L17" s="24"/>
      <c r="M17" s="466" t="s">
        <v>974</v>
      </c>
      <c r="N17" s="467" t="s">
        <v>975</v>
      </c>
    </row>
    <row r="18" spans="1:14" ht="15" customHeight="1">
      <c r="A18"/>
      <c r="B18"/>
      <c r="C18"/>
      <c r="D18"/>
      <c r="E18"/>
      <c r="F18"/>
      <c r="G18"/>
      <c r="H18"/>
      <c r="I18"/>
      <c r="J18"/>
      <c r="K18" s="24"/>
      <c r="L18" s="24"/>
      <c r="M18" s="24" t="s">
        <v>37</v>
      </c>
    </row>
    <row r="19" spans="1:14" ht="15" customHeight="1">
      <c r="A19"/>
      <c r="B19"/>
      <c r="C19"/>
      <c r="D19"/>
      <c r="E19"/>
      <c r="F19"/>
      <c r="G19"/>
      <c r="H19"/>
      <c r="I19"/>
      <c r="J19"/>
      <c r="K19" s="24"/>
      <c r="L19" s="24"/>
      <c r="M19" s="466" t="s">
        <v>974</v>
      </c>
      <c r="N19" s="467" t="s">
        <v>976</v>
      </c>
    </row>
    <row r="20" spans="1:14" ht="15" customHeight="1">
      <c r="A20"/>
      <c r="B20"/>
      <c r="C20"/>
      <c r="D20"/>
      <c r="E20"/>
      <c r="F20"/>
      <c r="G20"/>
      <c r="H20"/>
      <c r="I20"/>
      <c r="J20"/>
      <c r="K20" s="24"/>
      <c r="L20" s="24"/>
      <c r="M20" s="24" t="s">
        <v>38</v>
      </c>
    </row>
    <row r="21" spans="1:14" ht="15" customHeight="1">
      <c r="A21"/>
      <c r="B21"/>
      <c r="C21"/>
      <c r="D21"/>
      <c r="E21"/>
      <c r="F21"/>
      <c r="G21"/>
      <c r="H21"/>
      <c r="I21"/>
      <c r="J21"/>
      <c r="K21" s="24"/>
      <c r="L21" s="24"/>
      <c r="M21" s="466" t="s">
        <v>974</v>
      </c>
      <c r="N21" s="467" t="s">
        <v>977</v>
      </c>
    </row>
    <row r="22" spans="1:14" ht="15" customHeight="1">
      <c r="A22"/>
      <c r="B22"/>
      <c r="C22"/>
      <c r="D22"/>
      <c r="E22"/>
      <c r="F22"/>
      <c r="G22"/>
      <c r="H22"/>
      <c r="I22"/>
      <c r="J22"/>
      <c r="K22" s="24"/>
      <c r="L22" s="24"/>
      <c r="M22" s="24" t="s">
        <v>39</v>
      </c>
    </row>
    <row r="23" spans="1:14" ht="15" customHeight="1">
      <c r="A23"/>
      <c r="B23"/>
      <c r="C23"/>
      <c r="D23"/>
      <c r="E23"/>
      <c r="F23"/>
      <c r="G23"/>
      <c r="H23"/>
      <c r="I23"/>
      <c r="J23"/>
      <c r="K23" s="24"/>
      <c r="L23" s="24"/>
      <c r="M23" s="466" t="s">
        <v>974</v>
      </c>
      <c r="N23" s="467" t="s">
        <v>976</v>
      </c>
    </row>
    <row r="24" spans="1:14" ht="15" customHeight="1">
      <c r="A24"/>
      <c r="B24"/>
      <c r="C24"/>
      <c r="D24"/>
      <c r="E24"/>
      <c r="F24"/>
      <c r="G24"/>
      <c r="H24"/>
      <c r="I24"/>
      <c r="J24"/>
      <c r="K24" s="24"/>
      <c r="L24" s="24"/>
      <c r="M24" s="24" t="s">
        <v>40</v>
      </c>
    </row>
    <row r="25" spans="1:14" ht="15" customHeight="1">
      <c r="A25"/>
      <c r="B25"/>
      <c r="C25"/>
      <c r="D25"/>
      <c r="E25"/>
      <c r="F25"/>
      <c r="G25"/>
      <c r="H25"/>
      <c r="I25"/>
      <c r="J25"/>
      <c r="K25" s="24"/>
      <c r="L25" s="24"/>
      <c r="M25" s="466" t="s">
        <v>974</v>
      </c>
      <c r="N25" s="467" t="s">
        <v>978</v>
      </c>
    </row>
    <row r="26" spans="1:14" ht="15" customHeight="1">
      <c r="A26"/>
      <c r="B26"/>
      <c r="C26"/>
      <c r="D26"/>
      <c r="E26"/>
      <c r="F26"/>
      <c r="G26"/>
      <c r="H26"/>
      <c r="I26"/>
      <c r="J26"/>
      <c r="K26" s="24"/>
      <c r="L26" s="24"/>
      <c r="M26" s="24"/>
    </row>
    <row r="27" spans="1:14" ht="15" customHeight="1">
      <c r="A27"/>
      <c r="B27"/>
      <c r="C27"/>
      <c r="D27"/>
      <c r="E27"/>
      <c r="F27"/>
      <c r="G27"/>
      <c r="H27"/>
      <c r="I27"/>
      <c r="J27"/>
      <c r="K27" s="24"/>
      <c r="L27" s="24"/>
      <c r="M27" s="24"/>
    </row>
    <row r="28" spans="1:14" ht="15" customHeight="1">
      <c r="A28"/>
      <c r="B28"/>
      <c r="C28"/>
      <c r="D28"/>
      <c r="E28"/>
      <c r="F28"/>
      <c r="G28"/>
      <c r="H28"/>
      <c r="I28"/>
      <c r="J28"/>
      <c r="K28" s="24"/>
      <c r="L28" s="24"/>
      <c r="M28" s="24"/>
    </row>
    <row r="29" spans="1:14" ht="15" customHeight="1">
      <c r="A29"/>
      <c r="B29"/>
      <c r="C29"/>
      <c r="D29"/>
      <c r="E29"/>
      <c r="F29"/>
      <c r="G29"/>
      <c r="H29"/>
      <c r="I29"/>
      <c r="J29"/>
      <c r="K29" s="24"/>
      <c r="L29" s="24"/>
      <c r="M29" s="24"/>
    </row>
    <row r="30" spans="1:14" ht="15" customHeight="1">
      <c r="A30"/>
      <c r="B30"/>
      <c r="C30"/>
      <c r="D30"/>
      <c r="E30"/>
      <c r="F30"/>
      <c r="G30"/>
      <c r="H30"/>
      <c r="I30"/>
      <c r="J30"/>
      <c r="K30" s="24"/>
      <c r="L30" s="24"/>
      <c r="M30" s="24"/>
    </row>
    <row r="31" spans="1:14" ht="15" customHeight="1">
      <c r="A31"/>
      <c r="B31"/>
      <c r="C31"/>
      <c r="D31"/>
      <c r="E31"/>
      <c r="F31"/>
      <c r="G31"/>
      <c r="H31"/>
      <c r="I31"/>
      <c r="J31"/>
      <c r="K31" s="24"/>
      <c r="L31" s="24"/>
      <c r="M31" s="24"/>
    </row>
    <row r="32" spans="1:14" ht="15" customHeight="1">
      <c r="A32"/>
      <c r="B32"/>
      <c r="C32"/>
      <c r="D32"/>
      <c r="E32"/>
      <c r="F32"/>
      <c r="G32"/>
      <c r="H32"/>
      <c r="I32"/>
      <c r="J32"/>
      <c r="K32" s="24"/>
      <c r="L32" s="24"/>
      <c r="M32" s="24"/>
    </row>
    <row r="33" spans="1:13" ht="15" customHeight="1">
      <c r="A33"/>
      <c r="B33"/>
      <c r="C33"/>
      <c r="D33"/>
      <c r="E33"/>
      <c r="F33"/>
      <c r="G33"/>
      <c r="H33"/>
      <c r="I33"/>
      <c r="J33"/>
      <c r="K33" s="24"/>
      <c r="L33" s="24"/>
      <c r="M33" s="24"/>
    </row>
    <row r="34" spans="1:13" ht="15" customHeight="1">
      <c r="A34"/>
      <c r="B34"/>
      <c r="C34"/>
      <c r="D34"/>
      <c r="E34"/>
      <c r="F34"/>
      <c r="G34"/>
      <c r="H34"/>
      <c r="I34"/>
      <c r="J34"/>
      <c r="K34" s="24"/>
      <c r="L34" s="24"/>
      <c r="M34" s="24"/>
    </row>
    <row r="35" spans="1:13" ht="15" customHeight="1">
      <c r="K35" s="24"/>
      <c r="L35" s="24"/>
      <c r="M35" s="24"/>
    </row>
    <row r="36" spans="1:13" ht="15" customHeight="1">
      <c r="K36" s="24"/>
      <c r="L36" s="24"/>
      <c r="M36" s="24"/>
    </row>
    <row r="37" spans="1:13" ht="15" customHeight="1">
      <c r="K37" s="24"/>
      <c r="L37" s="24"/>
      <c r="M37" s="24"/>
    </row>
    <row r="38" spans="1:13" ht="15" customHeight="1">
      <c r="K38" s="24"/>
      <c r="L38" s="24"/>
      <c r="M38" s="24"/>
    </row>
    <row r="39" spans="1:13" ht="15" customHeight="1">
      <c r="K39" s="24"/>
      <c r="L39" s="24"/>
      <c r="M39" s="24"/>
    </row>
    <row r="40" spans="1:13" ht="15" customHeight="1">
      <c r="K40" s="24"/>
      <c r="L40" s="24"/>
      <c r="M40" s="24"/>
    </row>
    <row r="41" spans="1:13" ht="15" customHeight="1">
      <c r="K41" s="24"/>
      <c r="L41" s="24"/>
      <c r="M41" s="24"/>
    </row>
    <row r="42" spans="1:13" ht="15" customHeight="1">
      <c r="K42" s="24"/>
      <c r="L42" s="24"/>
      <c r="M42" s="24"/>
    </row>
    <row r="43" spans="1:13" ht="15" customHeight="1">
      <c r="K43" s="24"/>
      <c r="L43" s="24"/>
      <c r="M43" s="24"/>
    </row>
    <row r="44" spans="1:13" ht="15" customHeight="1">
      <c r="K44" s="24"/>
      <c r="L44" s="24"/>
      <c r="M44" s="24"/>
    </row>
    <row r="45" spans="1:13" ht="15" customHeight="1">
      <c r="K45" s="24"/>
      <c r="L45" s="24"/>
      <c r="M45" s="24"/>
    </row>
    <row r="46" spans="1:13" ht="15" customHeight="1">
      <c r="K46" s="24"/>
      <c r="L46" s="24"/>
      <c r="M46" s="24"/>
    </row>
    <row r="47" spans="1:13" ht="15" customHeight="1">
      <c r="K47" s="24"/>
      <c r="L47" s="24"/>
      <c r="M47" s="24"/>
    </row>
    <row r="48" spans="1:13" ht="15" customHeight="1">
      <c r="K48" s="24"/>
      <c r="L48" s="24"/>
      <c r="M48" s="24"/>
    </row>
    <row r="49" spans="11:13" ht="15" customHeight="1">
      <c r="K49" s="24"/>
      <c r="L49" s="24"/>
      <c r="M49" s="24"/>
    </row>
    <row r="50" spans="11:13" ht="15" customHeight="1">
      <c r="K50" s="24"/>
      <c r="L50" s="24"/>
      <c r="M50" s="24"/>
    </row>
    <row r="51" spans="11:13" ht="15" customHeight="1">
      <c r="K51" s="24"/>
      <c r="L51" s="24"/>
      <c r="M51" s="24"/>
    </row>
    <row r="52" spans="11:13" ht="15" customHeight="1">
      <c r="K52" s="24"/>
      <c r="L52" s="24"/>
      <c r="M52" s="24"/>
    </row>
    <row r="53" spans="11:13" ht="15" customHeight="1">
      <c r="K53" s="24"/>
      <c r="L53" s="24"/>
      <c r="M53" s="24"/>
    </row>
    <row r="54" spans="11:13" ht="15" customHeight="1">
      <c r="K54" s="24"/>
      <c r="L54" s="24"/>
      <c r="M54" s="24"/>
    </row>
    <row r="55" spans="11:13" ht="15" customHeight="1">
      <c r="K55" s="24"/>
      <c r="L55" s="24"/>
      <c r="M55" s="24"/>
    </row>
    <row r="56" spans="11:13" ht="15" customHeight="1">
      <c r="K56" s="24"/>
      <c r="L56" s="24"/>
      <c r="M56" s="24"/>
    </row>
    <row r="57" spans="11:13" ht="15" customHeight="1">
      <c r="K57" s="24"/>
      <c r="L57" s="24"/>
      <c r="M57" s="24"/>
    </row>
    <row r="58" spans="11:13" ht="15" customHeight="1">
      <c r="K58" s="24"/>
      <c r="L58" s="24"/>
      <c r="M58" s="24"/>
    </row>
    <row r="59" spans="11:13" ht="15" customHeight="1">
      <c r="K59" s="24"/>
      <c r="L59" s="24"/>
      <c r="M59" s="24"/>
    </row>
    <row r="60" spans="11:13" ht="15" customHeight="1">
      <c r="K60" s="24"/>
      <c r="L60" s="24"/>
      <c r="M60" s="24"/>
    </row>
    <row r="61" spans="11:13" ht="15" customHeight="1">
      <c r="K61" s="24"/>
      <c r="L61" s="24"/>
      <c r="M61" s="24"/>
    </row>
    <row r="62" spans="11:13" ht="15" customHeight="1">
      <c r="K62" s="24"/>
      <c r="L62" s="24"/>
      <c r="M62" s="24"/>
    </row>
    <row r="63" spans="11:13" ht="15" customHeight="1">
      <c r="K63" s="24"/>
      <c r="L63" s="24"/>
      <c r="M63" s="24"/>
    </row>
    <row r="64" spans="11:13" ht="15" customHeight="1">
      <c r="K64" s="24"/>
      <c r="L64" s="24"/>
      <c r="M64" s="24"/>
    </row>
    <row r="65" spans="11:13" ht="15" customHeight="1">
      <c r="K65" s="24"/>
      <c r="L65" s="24"/>
      <c r="M65" s="24"/>
    </row>
    <row r="66" spans="11:13" ht="15" customHeight="1">
      <c r="K66" s="24"/>
      <c r="L66" s="24"/>
      <c r="M66" s="24"/>
    </row>
    <row r="67" spans="11:13" ht="15" customHeight="1">
      <c r="K67" s="24"/>
      <c r="L67" s="24"/>
      <c r="M67" s="24"/>
    </row>
    <row r="68" spans="11:13" ht="15" customHeight="1">
      <c r="K68" s="24"/>
      <c r="L68" s="24"/>
      <c r="M68" s="24"/>
    </row>
    <row r="69" spans="11:13" ht="15" customHeight="1">
      <c r="K69" s="24"/>
      <c r="L69" s="24"/>
      <c r="M69" s="24"/>
    </row>
    <row r="70" spans="11:13" ht="15" customHeight="1">
      <c r="K70" s="24"/>
      <c r="L70" s="24"/>
      <c r="M70" s="24"/>
    </row>
    <row r="71" spans="11:13" ht="15" customHeight="1">
      <c r="K71" s="24"/>
      <c r="L71" s="24"/>
      <c r="M71" s="24"/>
    </row>
    <row r="72" spans="11:13" ht="15" customHeight="1">
      <c r="K72" s="24"/>
      <c r="L72" s="24"/>
      <c r="M72" s="24"/>
    </row>
    <row r="73" spans="11:13" ht="15" customHeight="1">
      <c r="K73" s="24"/>
      <c r="L73" s="24"/>
      <c r="M73" s="24"/>
    </row>
    <row r="74" spans="11:13" ht="15" customHeight="1">
      <c r="K74" s="24"/>
      <c r="L74" s="24"/>
      <c r="M74" s="24"/>
    </row>
    <row r="75" spans="11:13" ht="15" customHeight="1">
      <c r="K75" s="24"/>
      <c r="L75" s="24"/>
      <c r="M75" s="24"/>
    </row>
    <row r="76" spans="11:13" ht="15" customHeight="1">
      <c r="K76" s="24"/>
      <c r="L76" s="24"/>
      <c r="M76" s="24"/>
    </row>
    <row r="77" spans="11:13" ht="15" customHeight="1">
      <c r="K77" s="24"/>
      <c r="L77" s="24"/>
      <c r="M77" s="24"/>
    </row>
    <row r="78" spans="11:13" ht="15" customHeight="1">
      <c r="K78" s="24"/>
      <c r="L78" s="24"/>
      <c r="M78" s="24"/>
    </row>
    <row r="79" spans="11:13" ht="15" customHeight="1">
      <c r="K79" s="24"/>
      <c r="L79" s="24"/>
      <c r="M79" s="24"/>
    </row>
    <row r="80" spans="11:13" ht="15" customHeight="1">
      <c r="K80" s="24"/>
      <c r="L80" s="24"/>
      <c r="M80" s="24"/>
    </row>
    <row r="81" spans="11:13" ht="15" customHeight="1">
      <c r="K81" s="24"/>
      <c r="L81" s="24"/>
      <c r="M81" s="24"/>
    </row>
    <row r="82" spans="11:13" ht="15" customHeight="1">
      <c r="K82" s="24"/>
      <c r="L82" s="24"/>
      <c r="M82" s="24"/>
    </row>
    <row r="83" spans="11:13" ht="15" customHeight="1">
      <c r="K83" s="24"/>
      <c r="L83" s="24"/>
      <c r="M83" s="24"/>
    </row>
    <row r="84" spans="11:13" ht="15" customHeight="1">
      <c r="K84" s="24"/>
      <c r="L84" s="24"/>
      <c r="M84" s="24"/>
    </row>
    <row r="85" spans="11:13" ht="15" customHeight="1">
      <c r="K85" s="24"/>
      <c r="L85" s="24"/>
      <c r="M85" s="24"/>
    </row>
    <row r="86" spans="11:13" ht="15" customHeight="1">
      <c r="K86" s="24"/>
      <c r="L86" s="24"/>
      <c r="M86" s="24"/>
    </row>
    <row r="87" spans="11:13" ht="15" customHeight="1">
      <c r="K87" s="24"/>
      <c r="L87" s="24"/>
      <c r="M87" s="24"/>
    </row>
    <row r="88" spans="11:13" ht="15" customHeight="1">
      <c r="K88" s="24"/>
      <c r="L88" s="24"/>
      <c r="M88" s="24"/>
    </row>
    <row r="89" spans="11:13" ht="15" customHeight="1">
      <c r="K89" s="24"/>
      <c r="L89" s="24"/>
      <c r="M89" s="24"/>
    </row>
    <row r="90" spans="11:13" ht="15" customHeight="1">
      <c r="K90" s="24"/>
      <c r="L90" s="24"/>
      <c r="M90" s="24"/>
    </row>
    <row r="91" spans="11:13" ht="15" customHeight="1">
      <c r="K91" s="24"/>
      <c r="L91" s="24"/>
      <c r="M91" s="24"/>
    </row>
  </sheetData>
  <mergeCells count="1">
    <mergeCell ref="H1:I1"/>
  </mergeCells>
  <conditionalFormatting sqref="B1">
    <cfRule type="cellIs" dxfId="67" priority="1" operator="equal">
      <formula>"Incomplete"</formula>
    </cfRule>
    <cfRule type="cellIs" dxfId="66" priority="2" operator="equal">
      <formula>"Flag for Review"</formula>
    </cfRule>
    <cfRule type="cellIs" dxfId="65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Q10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3" width="10.7109375" style="24" customWidth="1"/>
    <col min="4" max="4" width="12.7109375" style="24" customWidth="1"/>
    <col min="5" max="8" width="10.7109375" style="24" customWidth="1"/>
    <col min="9" max="9" width="11.140625" style="24" bestFit="1" customWidth="1"/>
    <col min="10" max="10" width="10.7109375" style="24" customWidth="1"/>
    <col min="11" max="11" width="12.7109375" style="24" customWidth="1"/>
    <col min="12" max="12" width="9.140625" style="24"/>
    <col min="13" max="16" width="9.140625" style="41"/>
    <col min="17" max="17" width="14.7109375" style="41" bestFit="1" customWidth="1"/>
    <col min="18" max="16384" width="9.140625" style="24"/>
  </cols>
  <sheetData>
    <row r="1" spans="1:17">
      <c r="A1" s="7">
        <v>11</v>
      </c>
      <c r="B1" s="32" t="s">
        <v>12</v>
      </c>
      <c r="C1" s="23"/>
      <c r="D1" s="23"/>
      <c r="E1" s="23"/>
      <c r="F1" s="23"/>
      <c r="G1" s="23"/>
      <c r="H1" s="23"/>
      <c r="I1" s="31"/>
      <c r="J1" s="469" t="s">
        <v>30</v>
      </c>
      <c r="K1" s="472"/>
      <c r="M1" s="50" t="s">
        <v>316</v>
      </c>
      <c r="N1" s="24"/>
      <c r="O1" s="24"/>
      <c r="P1" s="24"/>
      <c r="Q1" s="24"/>
    </row>
    <row r="2" spans="1:17">
      <c r="A2" s="25"/>
      <c r="B2" s="22"/>
      <c r="C2" s="22"/>
      <c r="D2" s="22"/>
      <c r="E2" s="22"/>
      <c r="F2" s="22"/>
      <c r="G2" s="22"/>
      <c r="H2" s="22"/>
      <c r="I2" s="22"/>
      <c r="J2" s="22"/>
      <c r="K2" s="26"/>
      <c r="M2" s="24"/>
      <c r="N2" s="24"/>
      <c r="O2" s="24"/>
      <c r="P2" s="24"/>
      <c r="Q2" s="24"/>
    </row>
    <row r="3" spans="1:17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6"/>
      <c r="M3" s="24"/>
      <c r="N3" s="24"/>
      <c r="O3" s="24"/>
      <c r="P3" s="24"/>
      <c r="Q3" s="24"/>
    </row>
    <row r="4" spans="1:17" ht="15" customHeight="1">
      <c r="A4" s="9">
        <f>INDEX('Point Grid'!B:B,MATCH($A$1,'Point Grid'!A:A,0))</f>
        <v>2</v>
      </c>
      <c r="B4" s="22" t="s">
        <v>117</v>
      </c>
      <c r="C4" s="22"/>
      <c r="D4" s="22"/>
      <c r="E4" s="22"/>
      <c r="F4" s="22"/>
      <c r="G4" s="22"/>
      <c r="H4" s="22"/>
      <c r="I4" s="22"/>
      <c r="J4" s="22"/>
      <c r="K4" s="26"/>
      <c r="M4" s="24" t="s">
        <v>2</v>
      </c>
      <c r="N4" s="24"/>
      <c r="O4" s="24"/>
      <c r="P4" s="24"/>
      <c r="Q4" s="24"/>
    </row>
    <row r="5" spans="1:17" ht="15" customHeight="1">
      <c r="A5" s="25"/>
      <c r="B5" s="22" t="s">
        <v>118</v>
      </c>
      <c r="C5" s="22"/>
      <c r="D5" s="22"/>
      <c r="E5" s="22"/>
      <c r="F5" s="22"/>
      <c r="G5" s="22"/>
      <c r="H5" s="22"/>
      <c r="I5" s="22"/>
      <c r="J5" s="22"/>
      <c r="K5" s="26"/>
      <c r="M5" s="24"/>
      <c r="N5" s="24" t="s">
        <v>135</v>
      </c>
      <c r="O5" s="24"/>
      <c r="P5" s="24"/>
      <c r="Q5" s="103">
        <f>(I8-I9)*(G15/(G15+G16))</f>
        <v>1000000</v>
      </c>
    </row>
    <row r="6" spans="1:17" ht="15" customHeight="1">
      <c r="A6" s="25"/>
      <c r="B6" s="22"/>
      <c r="C6" s="22"/>
      <c r="D6" s="22"/>
      <c r="E6" s="22"/>
      <c r="F6" s="22"/>
      <c r="G6" s="22"/>
      <c r="H6" s="22"/>
      <c r="I6" s="22"/>
      <c r="J6" s="22"/>
      <c r="K6" s="26"/>
      <c r="M6" s="24"/>
      <c r="N6" s="24" t="s">
        <v>137</v>
      </c>
      <c r="O6" s="24"/>
      <c r="P6" s="24"/>
      <c r="Q6" s="104">
        <f>0.015*G15*1000000</f>
        <v>3750000</v>
      </c>
    </row>
    <row r="7" spans="1:17" ht="15" customHeight="1">
      <c r="A7" s="25"/>
      <c r="B7" s="22" t="s">
        <v>119</v>
      </c>
      <c r="C7" s="22"/>
      <c r="D7" s="22"/>
      <c r="E7" s="22"/>
      <c r="F7" s="22"/>
      <c r="G7" s="22"/>
      <c r="H7" s="22"/>
      <c r="I7" s="22"/>
      <c r="J7" s="22"/>
      <c r="K7" s="26"/>
      <c r="M7" s="24"/>
      <c r="N7" s="24"/>
      <c r="O7" s="24"/>
      <c r="P7" s="24"/>
      <c r="Q7" s="24"/>
    </row>
    <row r="8" spans="1:17" ht="15" customHeight="1">
      <c r="A8" s="25"/>
      <c r="B8" s="22" t="s">
        <v>120</v>
      </c>
      <c r="C8" s="22"/>
      <c r="D8" s="22"/>
      <c r="E8" s="22"/>
      <c r="F8" s="22"/>
      <c r="G8" s="22"/>
      <c r="H8" s="22"/>
      <c r="I8" s="105">
        <v>4000000</v>
      </c>
      <c r="J8" s="22"/>
      <c r="K8" s="26"/>
      <c r="M8" s="24"/>
      <c r="N8" s="24" t="str">
        <f>"As the total assessment is below the limit, then the PACICC assessment for insurer E is "&amp;Q5</f>
        <v>As the total assessment is below the limit, then the PACICC assessment for insurer E is 1000000</v>
      </c>
      <c r="O8" s="24"/>
      <c r="P8" s="24"/>
      <c r="Q8" s="24"/>
    </row>
    <row r="9" spans="1:17" ht="15" customHeight="1">
      <c r="A9" s="25"/>
      <c r="B9" s="22" t="s">
        <v>121</v>
      </c>
      <c r="C9" s="22"/>
      <c r="D9" s="22"/>
      <c r="E9" s="22"/>
      <c r="F9" s="22"/>
      <c r="G9" s="22"/>
      <c r="H9" s="22"/>
      <c r="I9" s="105">
        <v>1500000</v>
      </c>
      <c r="J9" s="22"/>
      <c r="K9" s="26"/>
      <c r="M9" s="24"/>
      <c r="N9" s="24"/>
      <c r="O9" s="24"/>
      <c r="P9" s="24"/>
      <c r="Q9" s="24"/>
    </row>
    <row r="10" spans="1:17" ht="15" customHeight="1">
      <c r="A10" s="25"/>
      <c r="B10" s="22" t="s">
        <v>122</v>
      </c>
      <c r="C10" s="22"/>
      <c r="D10" s="22"/>
      <c r="E10" s="22"/>
      <c r="F10" s="22"/>
      <c r="G10" s="22"/>
      <c r="H10" s="22"/>
      <c r="I10" s="105">
        <v>500000000</v>
      </c>
      <c r="J10" s="22"/>
      <c r="K10" s="26"/>
      <c r="M10" s="24" t="s">
        <v>3</v>
      </c>
      <c r="N10" s="24"/>
      <c r="O10" s="24"/>
      <c r="P10" s="24"/>
      <c r="Q10" s="24"/>
    </row>
    <row r="11" spans="1:17" ht="15" customHeight="1">
      <c r="A11" s="25"/>
      <c r="B11" s="22" t="s">
        <v>123</v>
      </c>
      <c r="C11" s="22"/>
      <c r="D11" s="22"/>
      <c r="E11" s="22"/>
      <c r="F11" s="22"/>
      <c r="G11" s="22"/>
      <c r="H11" s="22"/>
      <c r="I11" s="22"/>
      <c r="J11" s="22"/>
      <c r="K11" s="44"/>
      <c r="M11" s="24"/>
      <c r="N11" s="24" t="s">
        <v>135</v>
      </c>
      <c r="O11" s="24"/>
      <c r="P11" s="24"/>
      <c r="Q11" s="103">
        <f>(I8-I9)*G15/SUM(G15:G18)</f>
        <v>531914.89361702127</v>
      </c>
    </row>
    <row r="12" spans="1:17" ht="15" customHeight="1">
      <c r="A12" s="25"/>
      <c r="B12" s="22" t="s">
        <v>124</v>
      </c>
      <c r="C12" s="22"/>
      <c r="D12" s="22"/>
      <c r="E12" s="22"/>
      <c r="F12" s="22"/>
      <c r="G12" s="22"/>
      <c r="H12" s="22"/>
      <c r="I12" s="22"/>
      <c r="J12" s="22"/>
      <c r="K12" s="26"/>
      <c r="M12" s="24"/>
      <c r="N12" s="24" t="s">
        <v>137</v>
      </c>
      <c r="O12" s="24"/>
      <c r="P12" s="24"/>
      <c r="Q12" s="52">
        <f>Q6</f>
        <v>3750000</v>
      </c>
    </row>
    <row r="13" spans="1:17" ht="15" customHeight="1">
      <c r="A13" s="25"/>
      <c r="B13" s="22"/>
      <c r="C13" s="22"/>
      <c r="D13" s="22"/>
      <c r="E13" s="22"/>
      <c r="F13" s="22"/>
      <c r="G13" s="22"/>
      <c r="H13" s="22"/>
      <c r="I13" s="22"/>
      <c r="J13" s="22"/>
      <c r="K13" s="26"/>
      <c r="M13" s="24"/>
      <c r="N13" s="24"/>
      <c r="O13" s="24"/>
      <c r="P13" s="24"/>
      <c r="Q13" s="24"/>
    </row>
    <row r="14" spans="1:17" ht="55.15" customHeight="1">
      <c r="A14" s="25"/>
      <c r="B14" s="22"/>
      <c r="C14" s="46" t="s">
        <v>125</v>
      </c>
      <c r="D14" s="46" t="s">
        <v>126</v>
      </c>
      <c r="E14" s="46"/>
      <c r="F14" s="46"/>
      <c r="G14" s="46" t="s">
        <v>235</v>
      </c>
      <c r="H14" s="45"/>
      <c r="I14" s="22"/>
      <c r="J14" s="22"/>
      <c r="K14" s="26"/>
      <c r="M14" s="24"/>
      <c r="N14" s="24" t="str">
        <f>"The PACICC asssessment for insurer E is "&amp;ROUND(Q11,0)</f>
        <v>The PACICC asssessment for insurer E is 531915</v>
      </c>
      <c r="O14" s="24"/>
      <c r="P14" s="24"/>
      <c r="Q14" s="24"/>
    </row>
    <row r="15" spans="1:17" ht="15" customHeight="1">
      <c r="A15" s="25"/>
      <c r="B15" s="22"/>
      <c r="C15" s="47" t="s">
        <v>127</v>
      </c>
      <c r="D15" s="47" t="s">
        <v>131</v>
      </c>
      <c r="E15" s="47"/>
      <c r="F15" s="47"/>
      <c r="G15" s="47">
        <v>250</v>
      </c>
      <c r="H15" s="22"/>
      <c r="I15" s="22"/>
      <c r="J15" s="22"/>
      <c r="K15" s="26"/>
      <c r="M15" s="24"/>
      <c r="N15" s="24"/>
      <c r="O15" s="24"/>
      <c r="P15" s="24"/>
      <c r="Q15" s="24"/>
    </row>
    <row r="16" spans="1:17" ht="15" customHeight="1">
      <c r="A16" s="25"/>
      <c r="B16" s="22"/>
      <c r="C16" s="47" t="s">
        <v>128</v>
      </c>
      <c r="D16" s="47" t="s">
        <v>131</v>
      </c>
      <c r="E16" s="47"/>
      <c r="F16" s="47"/>
      <c r="G16" s="47">
        <v>375</v>
      </c>
      <c r="H16" s="22"/>
      <c r="I16" s="22"/>
      <c r="J16" s="22"/>
      <c r="K16" s="26"/>
      <c r="M16" s="24" t="s">
        <v>62</v>
      </c>
      <c r="N16" s="24"/>
      <c r="O16" s="24"/>
      <c r="P16" s="24"/>
      <c r="Q16" s="24"/>
    </row>
    <row r="17" spans="1:17" ht="15" customHeight="1">
      <c r="A17" s="25"/>
      <c r="B17" s="22"/>
      <c r="C17" s="47" t="s">
        <v>129</v>
      </c>
      <c r="D17" s="47" t="s">
        <v>132</v>
      </c>
      <c r="E17" s="47"/>
      <c r="F17" s="47"/>
      <c r="G17" s="47">
        <v>400</v>
      </c>
      <c r="H17" s="22"/>
      <c r="I17" s="22"/>
      <c r="J17" s="22"/>
      <c r="K17" s="26"/>
      <c r="M17" s="24"/>
      <c r="N17" s="24" t="s">
        <v>135</v>
      </c>
      <c r="O17" s="24"/>
      <c r="P17" s="24"/>
      <c r="Q17" s="104">
        <f>I10*(G17/(G17+G18))</f>
        <v>363636363.63636363</v>
      </c>
    </row>
    <row r="18" spans="1:17" ht="15" customHeight="1">
      <c r="A18" s="25"/>
      <c r="B18" s="22"/>
      <c r="C18" s="47" t="s">
        <v>130</v>
      </c>
      <c r="D18" s="47" t="s">
        <v>132</v>
      </c>
      <c r="E18" s="47"/>
      <c r="F18" s="47"/>
      <c r="G18" s="47">
        <v>150</v>
      </c>
      <c r="H18" s="22"/>
      <c r="I18" s="22"/>
      <c r="J18" s="22"/>
      <c r="K18" s="26"/>
      <c r="M18" s="24"/>
      <c r="N18" s="24" t="s">
        <v>137</v>
      </c>
      <c r="O18" s="24"/>
      <c r="P18" s="24"/>
      <c r="Q18" s="104">
        <f>0.015*G17*1000000</f>
        <v>6000000</v>
      </c>
    </row>
    <row r="19" spans="1:17" ht="15" customHeight="1">
      <c r="A19" s="25"/>
      <c r="B19" s="22"/>
      <c r="C19" s="22"/>
      <c r="D19" s="22"/>
      <c r="E19" s="22"/>
      <c r="F19" s="22"/>
      <c r="G19" s="22"/>
      <c r="H19" s="22"/>
      <c r="I19" s="22"/>
      <c r="J19" s="22"/>
      <c r="K19" s="26"/>
      <c r="M19" s="24"/>
      <c r="N19" s="24"/>
      <c r="O19" s="24"/>
      <c r="P19" s="24"/>
      <c r="Q19" s="24"/>
    </row>
    <row r="20" spans="1:17" ht="15" customHeight="1">
      <c r="A20" s="25"/>
      <c r="B20" s="22"/>
      <c r="C20" s="22"/>
      <c r="D20" s="22"/>
      <c r="E20" s="22"/>
      <c r="F20" s="22"/>
      <c r="G20" s="22"/>
      <c r="H20" s="22"/>
      <c r="I20" s="22"/>
      <c r="J20" s="22"/>
      <c r="K20" s="26"/>
      <c r="M20" s="24"/>
      <c r="N20" s="24" t="str">
        <f>"As the total assessment is above the limit, then the PACICC assessment for insurer G is "&amp;Q18</f>
        <v>As the total assessment is above the limit, then the PACICC assessment for insurer G is 6000000</v>
      </c>
      <c r="O20" s="24"/>
      <c r="P20" s="24"/>
      <c r="Q20" s="24"/>
    </row>
    <row r="21" spans="1:17" ht="15" customHeight="1">
      <c r="A21" s="25"/>
      <c r="B21" s="22"/>
      <c r="C21" s="22"/>
      <c r="D21" s="22"/>
      <c r="E21" s="22"/>
      <c r="F21" s="22"/>
      <c r="G21" s="22"/>
      <c r="H21" s="22"/>
      <c r="I21" s="22"/>
      <c r="J21" s="22"/>
      <c r="K21" s="26"/>
      <c r="M21" s="24"/>
      <c r="N21" s="24"/>
      <c r="O21" s="24"/>
      <c r="P21" s="24"/>
      <c r="Q21" s="24"/>
    </row>
    <row r="22" spans="1:17" ht="15" customHeight="1">
      <c r="A22" s="29" t="s">
        <v>2</v>
      </c>
      <c r="B22" s="22" t="s">
        <v>133</v>
      </c>
      <c r="C22" s="22"/>
      <c r="D22" s="22"/>
      <c r="E22" s="22"/>
      <c r="F22" s="22"/>
      <c r="G22" s="22"/>
      <c r="H22" s="22"/>
      <c r="I22" s="22"/>
      <c r="J22" s="22"/>
      <c r="K22" s="26"/>
      <c r="M22" s="24" t="s">
        <v>5</v>
      </c>
      <c r="N22" s="106" t="s">
        <v>84</v>
      </c>
      <c r="O22" s="24"/>
      <c r="P22" s="24"/>
      <c r="Q22" s="24"/>
    </row>
    <row r="23" spans="1:17" ht="15" customHeight="1" thickBot="1">
      <c r="A23" s="9">
        <f>INDEX('Point Grid'!$C$8:$I$35,MATCH($A$1,'Point Grid'!$A$8:$A$35,0),MATCH(A22,'Point Grid'!$C$7:$I$7,0))</f>
        <v>0.5</v>
      </c>
      <c r="B23" s="22"/>
      <c r="C23" s="22"/>
      <c r="D23" s="22"/>
      <c r="E23" s="22"/>
      <c r="F23" s="22"/>
      <c r="G23" s="22"/>
      <c r="H23" s="22"/>
      <c r="I23" s="22"/>
      <c r="J23" s="22"/>
      <c r="K23" s="26"/>
      <c r="M23" s="106"/>
      <c r="N23" s="24" t="s">
        <v>138</v>
      </c>
      <c r="O23" s="24"/>
      <c r="P23" s="24"/>
      <c r="Q23" s="24"/>
    </row>
    <row r="24" spans="1:17" ht="15" customHeight="1" thickBot="1">
      <c r="A24" s="5"/>
      <c r="B24" s="22"/>
      <c r="C24" s="22"/>
      <c r="D24" s="22"/>
      <c r="E24" s="22"/>
      <c r="F24" s="22"/>
      <c r="G24" s="22"/>
      <c r="H24" s="22"/>
      <c r="I24" s="22"/>
      <c r="J24" s="22"/>
      <c r="K24" s="26"/>
      <c r="M24" s="24"/>
      <c r="N24" s="24" t="s">
        <v>139</v>
      </c>
      <c r="O24" s="24"/>
      <c r="P24" s="24"/>
      <c r="Q24" s="24"/>
    </row>
    <row r="25" spans="1:17" ht="15" customHeight="1">
      <c r="A25" s="31"/>
      <c r="B25" s="22"/>
      <c r="C25" s="22"/>
      <c r="D25" s="22"/>
      <c r="E25" s="22"/>
      <c r="F25" s="22"/>
      <c r="G25" s="22"/>
      <c r="H25" s="22"/>
      <c r="I25" s="22"/>
      <c r="J25" s="22"/>
      <c r="K25" s="26"/>
      <c r="M25" s="24"/>
      <c r="N25" s="24" t="s">
        <v>140</v>
      </c>
      <c r="O25" s="24"/>
      <c r="P25" s="24"/>
      <c r="Q25" s="24"/>
    </row>
    <row r="26" spans="1:17" ht="15" customHeight="1">
      <c r="A26" s="29" t="s">
        <v>3</v>
      </c>
      <c r="B26" s="22" t="s">
        <v>136</v>
      </c>
      <c r="C26" s="22"/>
      <c r="D26" s="22"/>
      <c r="E26" s="22"/>
      <c r="F26" s="22"/>
      <c r="G26" s="22"/>
      <c r="H26" s="22"/>
      <c r="I26" s="22"/>
      <c r="J26" s="22"/>
      <c r="K26" s="26"/>
      <c r="M26" s="24"/>
      <c r="N26" s="24" t="s">
        <v>141</v>
      </c>
      <c r="O26" s="24"/>
      <c r="P26" s="24"/>
      <c r="Q26" s="24"/>
    </row>
    <row r="27" spans="1:17" ht="15" customHeight="1" thickBot="1">
      <c r="A27" s="9">
        <f>INDEX('Point Grid'!$C$8:$I$35,MATCH($A$1,'Point Grid'!$A$8:$A$35,0),MATCH(A26,'Point Grid'!$C$7:$I$7,0))</f>
        <v>0.25</v>
      </c>
      <c r="B27" s="22"/>
      <c r="C27" s="22"/>
      <c r="D27" s="22"/>
      <c r="E27" s="22"/>
      <c r="F27" s="22"/>
      <c r="G27" s="22"/>
      <c r="H27" s="22"/>
      <c r="I27" s="22"/>
      <c r="J27" s="22"/>
      <c r="K27" s="26"/>
      <c r="M27" s="24"/>
      <c r="N27" s="24"/>
      <c r="O27" s="24"/>
      <c r="P27" s="24"/>
      <c r="Q27" s="24"/>
    </row>
    <row r="28" spans="1:17" ht="15" customHeight="1" thickBot="1">
      <c r="A28" s="5"/>
      <c r="B28" s="22"/>
      <c r="C28" s="22"/>
      <c r="D28" s="22"/>
      <c r="E28" s="22"/>
      <c r="F28" s="22"/>
      <c r="G28" s="22"/>
      <c r="H28" s="22"/>
      <c r="I28" s="22"/>
      <c r="J28" s="22"/>
      <c r="K28" s="26"/>
      <c r="M28" s="24"/>
      <c r="N28" s="24"/>
      <c r="O28" s="24"/>
      <c r="P28" s="24"/>
      <c r="Q28" s="24"/>
    </row>
    <row r="29" spans="1:17" ht="15" customHeight="1">
      <c r="A29" s="31"/>
      <c r="B29" s="22"/>
      <c r="C29" s="22"/>
      <c r="D29" s="22"/>
      <c r="E29" s="22"/>
      <c r="F29" s="22"/>
      <c r="G29" s="22"/>
      <c r="H29" s="22"/>
      <c r="I29" s="22"/>
      <c r="J29" s="22"/>
      <c r="K29" s="26"/>
      <c r="M29" s="24"/>
      <c r="N29" s="24"/>
      <c r="O29" s="24"/>
      <c r="P29" s="24"/>
      <c r="Q29" s="24"/>
    </row>
    <row r="30" spans="1:17" ht="15" customHeight="1">
      <c r="A30" s="29" t="s">
        <v>4</v>
      </c>
      <c r="B30" s="22" t="s">
        <v>134</v>
      </c>
      <c r="C30" s="22"/>
      <c r="D30" s="22"/>
      <c r="E30" s="22"/>
      <c r="F30" s="22"/>
      <c r="G30" s="22"/>
      <c r="H30" s="22"/>
      <c r="I30" s="22"/>
      <c r="J30" s="22"/>
      <c r="K30" s="26"/>
      <c r="M30" s="24"/>
      <c r="N30" s="24"/>
      <c r="O30" s="24"/>
      <c r="P30" s="24"/>
      <c r="Q30" s="24"/>
    </row>
    <row r="31" spans="1:17" ht="15" customHeight="1" thickBot="1">
      <c r="A31" s="9">
        <f>INDEX('Point Grid'!$C$8:$I$35,MATCH($A$1,'Point Grid'!$A$8:$A$35,0),MATCH(A30,'Point Grid'!$C$7:$I$7,0))</f>
        <v>0.5</v>
      </c>
      <c r="B31" s="22"/>
      <c r="C31" s="22"/>
      <c r="D31" s="22"/>
      <c r="E31" s="22"/>
      <c r="F31" s="22"/>
      <c r="G31" s="22"/>
      <c r="H31" s="22"/>
      <c r="I31" s="22"/>
      <c r="J31" s="22"/>
      <c r="K31" s="26"/>
      <c r="M31" s="24"/>
      <c r="N31" s="24"/>
      <c r="O31" s="24"/>
      <c r="P31" s="24"/>
      <c r="Q31" s="24"/>
    </row>
    <row r="32" spans="1:17" ht="15" customHeight="1" thickBot="1">
      <c r="A32" s="5"/>
      <c r="B32" s="22"/>
      <c r="C32" s="22"/>
      <c r="D32" s="22"/>
      <c r="E32" s="22"/>
      <c r="F32" s="22"/>
      <c r="G32" s="22"/>
      <c r="H32" s="22"/>
      <c r="I32" s="22"/>
      <c r="J32" s="22"/>
      <c r="K32" s="26"/>
      <c r="M32" s="24"/>
      <c r="N32" s="24"/>
      <c r="O32" s="24"/>
      <c r="P32" s="24"/>
      <c r="Q32" s="24"/>
    </row>
    <row r="33" spans="1:17" ht="15" customHeight="1">
      <c r="A33" s="25"/>
      <c r="B33" s="22"/>
      <c r="C33" s="22"/>
      <c r="D33" s="22"/>
      <c r="E33" s="22"/>
      <c r="F33" s="22"/>
      <c r="G33" s="22"/>
      <c r="H33" s="22"/>
      <c r="I33" s="22"/>
      <c r="J33" s="22"/>
      <c r="K33" s="26"/>
      <c r="M33" s="24"/>
      <c r="N33" s="24"/>
      <c r="O33" s="24"/>
      <c r="P33" s="24"/>
      <c r="Q33" s="24"/>
    </row>
    <row r="34" spans="1:17" ht="15" customHeight="1">
      <c r="A34" s="29" t="s">
        <v>5</v>
      </c>
      <c r="B34" s="22" t="s">
        <v>504</v>
      </c>
      <c r="C34" s="22"/>
      <c r="D34" s="22"/>
      <c r="E34" s="22"/>
      <c r="F34" s="22"/>
      <c r="G34" s="22"/>
      <c r="H34" s="22"/>
      <c r="I34" s="22"/>
      <c r="J34" s="22"/>
      <c r="K34" s="26"/>
      <c r="M34" s="24"/>
      <c r="N34" s="24"/>
      <c r="O34" s="24"/>
      <c r="P34" s="24"/>
      <c r="Q34" s="24"/>
    </row>
    <row r="35" spans="1:17" ht="15" customHeight="1" thickBot="1">
      <c r="A35" s="9">
        <f>INDEX('Point Grid'!$C$8:$I$35,MATCH($A$1,'Point Grid'!$A$8:$A$35,0),MATCH(A34,'Point Grid'!$C$7:$I$7,0))</f>
        <v>0.75</v>
      </c>
      <c r="B35" s="22"/>
      <c r="C35" s="22"/>
      <c r="D35" s="22"/>
      <c r="E35" s="22"/>
      <c r="F35" s="22"/>
      <c r="G35" s="22"/>
      <c r="H35" s="22"/>
      <c r="I35" s="22"/>
      <c r="J35" s="22"/>
      <c r="K35" s="26"/>
      <c r="M35" s="24"/>
      <c r="N35" s="24"/>
      <c r="O35" s="24"/>
      <c r="P35" s="24"/>
      <c r="Q35" s="24"/>
    </row>
    <row r="36" spans="1:17" ht="15" customHeight="1" thickBot="1">
      <c r="A36" s="5"/>
      <c r="B36" s="22"/>
      <c r="C36" s="22"/>
      <c r="D36" s="22"/>
      <c r="E36" s="22"/>
      <c r="F36" s="22"/>
      <c r="G36" s="22"/>
      <c r="H36" s="22"/>
      <c r="I36" s="22"/>
      <c r="J36" s="22"/>
      <c r="K36" s="26"/>
      <c r="M36" s="24"/>
      <c r="N36" s="24"/>
      <c r="O36" s="24"/>
      <c r="P36" s="24"/>
      <c r="Q36" s="24"/>
    </row>
    <row r="37" spans="1:17" ht="15" customHeight="1">
      <c r="A37" s="25"/>
      <c r="B37" s="22"/>
      <c r="C37" s="22"/>
      <c r="D37" s="22"/>
      <c r="E37" s="22"/>
      <c r="F37" s="22"/>
      <c r="G37" s="22"/>
      <c r="H37" s="22"/>
      <c r="I37" s="22"/>
      <c r="J37" s="22"/>
      <c r="K37" s="26"/>
      <c r="M37" s="24"/>
      <c r="N37" s="24"/>
      <c r="O37" s="24"/>
      <c r="P37" s="24"/>
      <c r="Q37" s="24"/>
    </row>
    <row r="38" spans="1:17" ht="15" customHeight="1" thickBo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8"/>
      <c r="M38" s="24"/>
      <c r="N38" s="24"/>
      <c r="O38" s="24"/>
      <c r="P38" s="24"/>
      <c r="Q38" s="24"/>
    </row>
    <row r="39" spans="1:17" ht="15" customHeight="1">
      <c r="M39" s="24"/>
      <c r="N39" s="24"/>
      <c r="O39" s="24"/>
      <c r="P39" s="24"/>
      <c r="Q39" s="24"/>
    </row>
    <row r="40" spans="1:17" ht="15" customHeight="1">
      <c r="M40" s="24"/>
      <c r="N40" s="24"/>
      <c r="O40" s="24"/>
      <c r="P40" s="24"/>
      <c r="Q40" s="24"/>
    </row>
    <row r="41" spans="1:17" ht="15" customHeight="1">
      <c r="M41" s="24"/>
      <c r="N41" s="24"/>
      <c r="O41" s="24"/>
      <c r="P41" s="24"/>
      <c r="Q41" s="24"/>
    </row>
    <row r="42" spans="1:17" ht="15" customHeight="1">
      <c r="M42" s="24"/>
      <c r="N42" s="24"/>
      <c r="O42" s="24"/>
      <c r="P42" s="24"/>
      <c r="Q42" s="24"/>
    </row>
    <row r="43" spans="1:17" ht="15" customHeight="1">
      <c r="M43" s="24"/>
      <c r="N43" s="24"/>
      <c r="O43" s="24"/>
      <c r="P43" s="24"/>
      <c r="Q43" s="24"/>
    </row>
    <row r="44" spans="1:17" ht="15" customHeight="1">
      <c r="M44" s="24"/>
      <c r="N44" s="24"/>
      <c r="O44" s="24"/>
      <c r="P44" s="24"/>
      <c r="Q44" s="24"/>
    </row>
    <row r="45" spans="1:17" ht="15" customHeight="1">
      <c r="M45" s="24"/>
      <c r="N45" s="24"/>
      <c r="O45" s="24"/>
      <c r="P45" s="24"/>
      <c r="Q45" s="24"/>
    </row>
    <row r="46" spans="1:17" ht="15" customHeight="1">
      <c r="M46" s="24"/>
      <c r="N46" s="24"/>
      <c r="O46" s="24"/>
      <c r="P46" s="24"/>
      <c r="Q46" s="24"/>
    </row>
    <row r="47" spans="1:17" ht="15" customHeight="1">
      <c r="M47" s="24"/>
      <c r="N47" s="24"/>
      <c r="O47" s="24"/>
      <c r="P47" s="24"/>
      <c r="Q47" s="24"/>
    </row>
    <row r="48" spans="1:17" ht="15" customHeight="1">
      <c r="M48" s="24"/>
      <c r="N48" s="24"/>
      <c r="O48" s="24"/>
      <c r="P48" s="24"/>
      <c r="Q48" s="24"/>
    </row>
    <row r="49" spans="13:17" ht="15" customHeight="1">
      <c r="M49" s="24"/>
      <c r="N49" s="24"/>
      <c r="O49" s="24"/>
      <c r="P49" s="24"/>
      <c r="Q49" s="24"/>
    </row>
    <row r="50" spans="13:17" ht="15" customHeight="1">
      <c r="M50" s="24"/>
      <c r="N50" s="24"/>
      <c r="O50" s="24"/>
      <c r="P50" s="24"/>
      <c r="Q50" s="24"/>
    </row>
    <row r="51" spans="13:17" ht="15" customHeight="1">
      <c r="M51" s="24"/>
      <c r="N51" s="24"/>
      <c r="O51" s="24"/>
      <c r="P51" s="24"/>
      <c r="Q51" s="24"/>
    </row>
    <row r="52" spans="13:17" ht="15" customHeight="1">
      <c r="M52" s="24"/>
      <c r="N52" s="24"/>
      <c r="O52" s="24"/>
      <c r="P52" s="24"/>
      <c r="Q52" s="24"/>
    </row>
    <row r="53" spans="13:17" ht="15" customHeight="1">
      <c r="M53" s="24"/>
      <c r="N53" s="24"/>
      <c r="O53" s="24"/>
      <c r="P53" s="24"/>
      <c r="Q53" s="24"/>
    </row>
    <row r="54" spans="13:17" ht="15" customHeight="1">
      <c r="M54" s="24"/>
      <c r="N54" s="24"/>
      <c r="O54" s="24"/>
      <c r="P54" s="24"/>
      <c r="Q54" s="24"/>
    </row>
    <row r="55" spans="13:17" ht="15" customHeight="1">
      <c r="M55" s="24"/>
      <c r="N55" s="24"/>
      <c r="O55" s="24"/>
      <c r="P55" s="24"/>
      <c r="Q55" s="24"/>
    </row>
    <row r="56" spans="13:17" ht="15" customHeight="1">
      <c r="M56" s="24"/>
      <c r="N56" s="24"/>
      <c r="O56" s="24"/>
      <c r="P56" s="24"/>
      <c r="Q56" s="24"/>
    </row>
    <row r="57" spans="13:17" ht="15" customHeight="1">
      <c r="M57" s="24"/>
      <c r="N57" s="24"/>
      <c r="O57" s="24"/>
      <c r="P57" s="24"/>
      <c r="Q57" s="24"/>
    </row>
    <row r="58" spans="13:17" ht="15" customHeight="1">
      <c r="M58" s="24"/>
      <c r="N58" s="24"/>
      <c r="O58" s="24"/>
      <c r="P58" s="24"/>
      <c r="Q58" s="24"/>
    </row>
    <row r="59" spans="13:17" ht="15" customHeight="1">
      <c r="M59" s="24"/>
      <c r="N59" s="24"/>
      <c r="O59" s="24"/>
      <c r="P59" s="24"/>
      <c r="Q59" s="24"/>
    </row>
    <row r="60" spans="13:17" ht="15" customHeight="1">
      <c r="M60" s="24"/>
      <c r="N60" s="24"/>
      <c r="O60" s="24"/>
      <c r="P60" s="24"/>
      <c r="Q60" s="24"/>
    </row>
    <row r="61" spans="13:17" ht="15" customHeight="1">
      <c r="M61" s="24"/>
      <c r="N61" s="24"/>
      <c r="O61" s="24"/>
      <c r="P61" s="24"/>
      <c r="Q61" s="24"/>
    </row>
    <row r="62" spans="13:17" ht="15" customHeight="1">
      <c r="M62" s="24"/>
      <c r="N62" s="24"/>
      <c r="O62" s="24"/>
      <c r="P62" s="24"/>
      <c r="Q62" s="24"/>
    </row>
    <row r="63" spans="13:17" ht="15" customHeight="1">
      <c r="M63" s="24"/>
      <c r="N63" s="24"/>
      <c r="O63" s="24"/>
      <c r="P63" s="24"/>
      <c r="Q63" s="24"/>
    </row>
    <row r="64" spans="13:17" ht="15" customHeight="1">
      <c r="M64" s="24"/>
      <c r="N64" s="24"/>
      <c r="O64" s="24"/>
      <c r="P64" s="24"/>
      <c r="Q64" s="24"/>
    </row>
    <row r="65" spans="13:17" ht="15" customHeight="1">
      <c r="M65" s="24"/>
      <c r="N65" s="24"/>
      <c r="O65" s="24"/>
      <c r="P65" s="24"/>
      <c r="Q65" s="24"/>
    </row>
    <row r="66" spans="13:17" ht="15" customHeight="1">
      <c r="M66" s="24"/>
      <c r="N66" s="24"/>
      <c r="O66" s="24"/>
      <c r="P66" s="24"/>
      <c r="Q66" s="24"/>
    </row>
    <row r="67" spans="13:17" ht="15" customHeight="1">
      <c r="M67" s="24"/>
      <c r="N67" s="24"/>
      <c r="O67" s="24"/>
      <c r="P67" s="24"/>
      <c r="Q67" s="24"/>
    </row>
    <row r="68" spans="13:17" ht="15" customHeight="1">
      <c r="M68" s="24"/>
      <c r="N68" s="24"/>
      <c r="O68" s="24"/>
      <c r="P68" s="24"/>
      <c r="Q68" s="24"/>
    </row>
    <row r="69" spans="13:17" ht="15" customHeight="1">
      <c r="M69" s="24"/>
      <c r="N69" s="24"/>
      <c r="O69" s="24"/>
      <c r="P69" s="24"/>
      <c r="Q69" s="24"/>
    </row>
    <row r="70" spans="13:17" ht="15" customHeight="1">
      <c r="M70" s="24"/>
      <c r="N70" s="24"/>
      <c r="O70" s="24"/>
      <c r="P70" s="24"/>
      <c r="Q70" s="24"/>
    </row>
    <row r="71" spans="13:17" ht="15" customHeight="1">
      <c r="M71" s="24"/>
      <c r="N71" s="24"/>
      <c r="O71" s="24"/>
      <c r="P71" s="24"/>
      <c r="Q71" s="24"/>
    </row>
    <row r="72" spans="13:17" ht="15" customHeight="1">
      <c r="M72" s="24"/>
      <c r="N72" s="24"/>
      <c r="O72" s="24"/>
      <c r="P72" s="24"/>
      <c r="Q72" s="24"/>
    </row>
    <row r="73" spans="13:17" ht="15" customHeight="1">
      <c r="M73" s="24"/>
      <c r="N73" s="24"/>
      <c r="O73" s="24"/>
      <c r="P73" s="24"/>
      <c r="Q73" s="24"/>
    </row>
    <row r="74" spans="13:17" ht="15" customHeight="1">
      <c r="M74" s="24"/>
      <c r="N74" s="24"/>
      <c r="O74" s="24"/>
      <c r="P74" s="24"/>
      <c r="Q74" s="24"/>
    </row>
    <row r="75" spans="13:17" ht="15" customHeight="1">
      <c r="M75" s="24"/>
      <c r="N75" s="24"/>
      <c r="O75" s="24"/>
      <c r="P75" s="24"/>
      <c r="Q75" s="24"/>
    </row>
    <row r="76" spans="13:17" ht="15" customHeight="1">
      <c r="M76" s="24"/>
      <c r="N76" s="24"/>
      <c r="O76" s="24"/>
      <c r="P76" s="24"/>
      <c r="Q76" s="24"/>
    </row>
    <row r="77" spans="13:17" ht="15" customHeight="1">
      <c r="M77" s="24"/>
      <c r="N77" s="24"/>
      <c r="O77" s="24"/>
      <c r="P77" s="24"/>
      <c r="Q77" s="24"/>
    </row>
    <row r="78" spans="13:17" ht="15" customHeight="1">
      <c r="M78" s="24"/>
      <c r="N78" s="24"/>
      <c r="O78" s="24"/>
      <c r="P78" s="24"/>
      <c r="Q78" s="24"/>
    </row>
    <row r="79" spans="13:17" ht="15" customHeight="1">
      <c r="M79" s="24"/>
      <c r="N79" s="24"/>
      <c r="O79" s="24"/>
      <c r="P79" s="24"/>
      <c r="Q79" s="24"/>
    </row>
    <row r="80" spans="13:17" ht="15" customHeight="1">
      <c r="M80" s="24"/>
      <c r="N80" s="24"/>
      <c r="O80" s="24"/>
      <c r="P80" s="24"/>
      <c r="Q80" s="24"/>
    </row>
    <row r="81" spans="13:17" ht="15" customHeight="1">
      <c r="M81" s="24"/>
      <c r="N81" s="24"/>
      <c r="O81" s="24"/>
      <c r="P81" s="24"/>
      <c r="Q81" s="24"/>
    </row>
    <row r="82" spans="13:17" ht="15" customHeight="1">
      <c r="M82" s="24"/>
      <c r="N82" s="24"/>
      <c r="O82" s="24"/>
      <c r="P82" s="24"/>
      <c r="Q82" s="24"/>
    </row>
    <row r="83" spans="13:17" ht="15" customHeight="1">
      <c r="M83" s="24"/>
      <c r="N83" s="24"/>
      <c r="O83" s="24"/>
      <c r="P83" s="24"/>
      <c r="Q83" s="24"/>
    </row>
    <row r="84" spans="13:17" ht="15" customHeight="1">
      <c r="M84" s="24"/>
      <c r="N84" s="24"/>
      <c r="O84" s="24"/>
      <c r="P84" s="24"/>
      <c r="Q84" s="24"/>
    </row>
    <row r="85" spans="13:17" ht="15" customHeight="1">
      <c r="M85" s="24"/>
      <c r="N85" s="24"/>
      <c r="O85" s="24"/>
      <c r="P85" s="24"/>
      <c r="Q85" s="24"/>
    </row>
    <row r="86" spans="13:17" ht="15" customHeight="1">
      <c r="M86" s="24"/>
      <c r="N86" s="24"/>
      <c r="O86" s="24"/>
      <c r="P86" s="24"/>
      <c r="Q86" s="24"/>
    </row>
    <row r="87" spans="13:17" ht="15" customHeight="1">
      <c r="M87" s="24"/>
      <c r="N87" s="24"/>
      <c r="O87" s="24"/>
      <c r="P87" s="24"/>
      <c r="Q87" s="24"/>
    </row>
    <row r="88" spans="13:17" ht="15" customHeight="1">
      <c r="M88" s="24"/>
      <c r="N88" s="24"/>
      <c r="O88" s="24"/>
      <c r="P88" s="24"/>
      <c r="Q88" s="24"/>
    </row>
    <row r="89" spans="13:17" ht="15" customHeight="1">
      <c r="M89" s="24"/>
      <c r="N89" s="24"/>
      <c r="O89" s="24"/>
      <c r="P89" s="24"/>
      <c r="Q89" s="24"/>
    </row>
    <row r="90" spans="13:17" ht="15" customHeight="1">
      <c r="M90" s="24"/>
      <c r="N90" s="24"/>
      <c r="O90" s="24"/>
      <c r="P90" s="24"/>
      <c r="Q90" s="24"/>
    </row>
    <row r="91" spans="13:17" ht="15" customHeight="1">
      <c r="M91" s="24"/>
      <c r="N91" s="24"/>
      <c r="O91" s="24"/>
      <c r="P91" s="24"/>
      <c r="Q91" s="24"/>
    </row>
    <row r="92" spans="13:17" ht="15" customHeight="1">
      <c r="M92" s="24"/>
      <c r="N92" s="24"/>
      <c r="O92" s="24"/>
      <c r="P92" s="24"/>
      <c r="Q92" s="24"/>
    </row>
    <row r="93" spans="13:17" ht="15" customHeight="1">
      <c r="M93" s="24"/>
      <c r="N93" s="24"/>
      <c r="O93" s="24"/>
      <c r="P93" s="24"/>
      <c r="Q93" s="24"/>
    </row>
    <row r="94" spans="13:17" ht="15" customHeight="1">
      <c r="M94" s="24"/>
      <c r="N94" s="24"/>
      <c r="O94" s="24"/>
      <c r="P94" s="24"/>
      <c r="Q94" s="24"/>
    </row>
    <row r="95" spans="13:17" ht="15" customHeight="1">
      <c r="M95" s="24"/>
      <c r="N95" s="24"/>
      <c r="O95" s="24"/>
      <c r="P95" s="24"/>
      <c r="Q95" s="24"/>
    </row>
    <row r="96" spans="13:17" ht="15" customHeight="1">
      <c r="M96" s="24"/>
      <c r="N96" s="24"/>
      <c r="O96" s="24"/>
      <c r="P96" s="24"/>
      <c r="Q96" s="24"/>
    </row>
    <row r="97" spans="13:17" ht="15" customHeight="1">
      <c r="M97" s="24"/>
      <c r="N97" s="24"/>
      <c r="O97" s="24"/>
      <c r="P97" s="24"/>
      <c r="Q97" s="24"/>
    </row>
    <row r="98" spans="13:17" ht="15" customHeight="1">
      <c r="M98" s="24"/>
      <c r="N98" s="24"/>
      <c r="O98" s="24"/>
      <c r="P98" s="24"/>
      <c r="Q98" s="24"/>
    </row>
    <row r="99" spans="13:17" ht="15" customHeight="1">
      <c r="M99" s="24"/>
      <c r="N99" s="24"/>
      <c r="O99" s="24"/>
      <c r="P99" s="24"/>
      <c r="Q99" s="24"/>
    </row>
    <row r="100" spans="13:17" ht="15" customHeight="1">
      <c r="M100" s="24"/>
      <c r="N100" s="24"/>
      <c r="O100" s="24"/>
      <c r="P100" s="24"/>
      <c r="Q100" s="24"/>
    </row>
  </sheetData>
  <mergeCells count="1">
    <mergeCell ref="J1:K1"/>
  </mergeCells>
  <conditionalFormatting sqref="B1">
    <cfRule type="cellIs" dxfId="64" priority="1" operator="equal">
      <formula>"Incomplete"</formula>
    </cfRule>
    <cfRule type="cellIs" dxfId="63" priority="2" operator="equal">
      <formula>"Flag for Review"</formula>
    </cfRule>
    <cfRule type="cellIs" dxfId="62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J1" location="'Point Grid'!A8" display="Return to Point Grid"/>
    <hyperlink ref="J1:K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Y106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3" width="10.7109375" style="24" customWidth="1"/>
    <col min="4" max="5" width="13.7109375" style="24" customWidth="1"/>
    <col min="6" max="6" width="12.7109375" style="24" customWidth="1"/>
    <col min="7" max="9" width="10.7109375" style="24" customWidth="1"/>
    <col min="10" max="10" width="9.140625" style="24" customWidth="1"/>
    <col min="11" max="17" width="9.28515625" style="24" bestFit="1" customWidth="1"/>
    <col min="18" max="18" width="9.5703125" style="24" bestFit="1" customWidth="1"/>
    <col min="19" max="16384" width="9.140625" style="24"/>
  </cols>
  <sheetData>
    <row r="1" spans="1:18" ht="15" customHeight="1">
      <c r="A1" s="7">
        <v>12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</row>
    <row r="2" spans="1:18" ht="15" customHeight="1">
      <c r="A2" s="25"/>
      <c r="B2" s="22"/>
      <c r="C2" s="22"/>
      <c r="D2" s="22"/>
      <c r="E2" s="22"/>
      <c r="F2" s="22"/>
      <c r="G2" s="22"/>
      <c r="H2" s="22"/>
      <c r="I2" s="26"/>
    </row>
    <row r="3" spans="1:18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</row>
    <row r="4" spans="1:18" ht="15" customHeight="1">
      <c r="A4" s="9">
        <f>INDEX('Point Grid'!B:B,MATCH($A$1,'Point Grid'!A:A,0))</f>
        <v>3.25</v>
      </c>
      <c r="B4" s="22" t="s">
        <v>246</v>
      </c>
      <c r="C4" s="22"/>
      <c r="D4" s="22"/>
      <c r="E4" s="22"/>
      <c r="F4" s="22"/>
      <c r="G4" s="22"/>
      <c r="H4" s="22"/>
      <c r="I4" s="26"/>
      <c r="K4" s="24" t="s">
        <v>2</v>
      </c>
      <c r="L4" s="106" t="s">
        <v>277</v>
      </c>
    </row>
    <row r="5" spans="1:18" ht="15" customHeight="1">
      <c r="A5" s="9"/>
      <c r="B5" s="22" t="s">
        <v>247</v>
      </c>
      <c r="C5" s="22"/>
      <c r="D5" s="22"/>
      <c r="E5" s="22"/>
      <c r="F5" s="22"/>
      <c r="G5" s="22"/>
      <c r="H5" s="22"/>
      <c r="I5" s="26"/>
    </row>
    <row r="6" spans="1:18" ht="15" customHeight="1">
      <c r="A6" s="9"/>
      <c r="B6" s="22"/>
      <c r="C6" s="22"/>
      <c r="D6" s="22"/>
      <c r="E6" s="22"/>
      <c r="F6" s="22"/>
      <c r="G6" s="22"/>
      <c r="H6" s="22"/>
      <c r="I6" s="26"/>
      <c r="K6" s="24">
        <v>0.25</v>
      </c>
      <c r="L6" s="107" t="s">
        <v>278</v>
      </c>
      <c r="M6" s="108" t="s">
        <v>279</v>
      </c>
      <c r="N6" s="108" t="s">
        <v>280</v>
      </c>
      <c r="P6" s="109" t="s">
        <v>278</v>
      </c>
      <c r="Q6" s="108" t="s">
        <v>279</v>
      </c>
      <c r="R6" s="108" t="s">
        <v>280</v>
      </c>
    </row>
    <row r="7" spans="1:18" ht="25.9" customHeight="1">
      <c r="A7" s="9"/>
      <c r="B7" s="22"/>
      <c r="C7" s="46" t="s">
        <v>249</v>
      </c>
      <c r="D7" s="46" t="s">
        <v>248</v>
      </c>
      <c r="E7" s="22"/>
      <c r="F7" s="22"/>
      <c r="G7" s="22"/>
      <c r="H7" s="22"/>
      <c r="I7" s="26"/>
      <c r="L7" s="110">
        <f>F24</f>
        <v>2020</v>
      </c>
      <c r="M7" s="137">
        <f>D14</f>
        <v>3500</v>
      </c>
      <c r="N7" s="137">
        <f>0</f>
        <v>0</v>
      </c>
      <c r="P7" s="110">
        <f>F24</f>
        <v>2020</v>
      </c>
      <c r="Q7" s="137">
        <f>D14*D10/(1-D8-D9)</f>
        <v>3500</v>
      </c>
      <c r="R7" s="137">
        <f>0</f>
        <v>0</v>
      </c>
    </row>
    <row r="8" spans="1:18" ht="15" customHeight="1">
      <c r="A8" s="9"/>
      <c r="B8" s="22"/>
      <c r="C8" s="47">
        <v>1</v>
      </c>
      <c r="D8" s="48">
        <v>0.15</v>
      </c>
      <c r="E8" s="22"/>
      <c r="F8" s="22"/>
      <c r="G8" s="22"/>
      <c r="H8" s="22"/>
      <c r="I8" s="26"/>
      <c r="L8" s="110">
        <f>G24</f>
        <v>2019</v>
      </c>
      <c r="M8" s="137">
        <f>C15*D9/(1-D8)</f>
        <v>1955.8823529411766</v>
      </c>
      <c r="N8" s="137">
        <f>C15-M8</f>
        <v>2794.1176470588234</v>
      </c>
      <c r="O8" s="111" t="s">
        <v>282</v>
      </c>
      <c r="P8" s="110">
        <f>G24</f>
        <v>2019</v>
      </c>
      <c r="Q8" s="137">
        <f>C15*D9/(1-D8)</f>
        <v>1955.8823529411766</v>
      </c>
      <c r="R8" s="137">
        <f>C15*D10/(1-D8)</f>
        <v>2794.1176470588234</v>
      </c>
    </row>
    <row r="9" spans="1:18" ht="15" customHeight="1">
      <c r="A9" s="9"/>
      <c r="B9" s="22"/>
      <c r="C9" s="47">
        <v>2</v>
      </c>
      <c r="D9" s="48">
        <v>0.35</v>
      </c>
      <c r="E9" s="22"/>
      <c r="F9" s="22"/>
      <c r="G9" s="22"/>
      <c r="H9" s="22"/>
      <c r="I9" s="26"/>
      <c r="L9" s="110" t="s">
        <v>281</v>
      </c>
      <c r="M9" s="137">
        <f>M7+M8</f>
        <v>5455.8823529411766</v>
      </c>
      <c r="N9" s="137">
        <f>N7+N8</f>
        <v>2794.1176470588234</v>
      </c>
      <c r="P9" s="110" t="s">
        <v>281</v>
      </c>
      <c r="Q9" s="137">
        <f>Q7+Q8</f>
        <v>5455.8823529411766</v>
      </c>
      <c r="R9" s="137">
        <f>R7+R8</f>
        <v>2794.1176470588234</v>
      </c>
    </row>
    <row r="10" spans="1:18" ht="15" customHeight="1">
      <c r="A10" s="9"/>
      <c r="B10" s="22"/>
      <c r="C10" s="47">
        <v>3</v>
      </c>
      <c r="D10" s="48">
        <v>0.5</v>
      </c>
      <c r="E10" s="22"/>
      <c r="F10" s="22"/>
      <c r="G10" s="22"/>
      <c r="H10" s="22"/>
      <c r="I10" s="26"/>
    </row>
    <row r="11" spans="1:18" ht="15" customHeight="1">
      <c r="A11" s="9"/>
      <c r="B11" s="22"/>
      <c r="C11" s="22"/>
      <c r="D11" s="22"/>
      <c r="E11" s="22"/>
      <c r="F11" s="22"/>
      <c r="G11" s="22"/>
      <c r="H11" s="22"/>
      <c r="I11" s="26"/>
      <c r="L11" s="106" t="s">
        <v>283</v>
      </c>
      <c r="Q11" s="112">
        <f>G22-G21</f>
        <v>1.7500000000000002E-2</v>
      </c>
    </row>
    <row r="12" spans="1:18" ht="15" customHeight="1">
      <c r="A12" s="9"/>
      <c r="B12" s="113" t="s">
        <v>250</v>
      </c>
      <c r="C12" s="22"/>
      <c r="D12" s="22"/>
      <c r="E12" s="22"/>
      <c r="F12" s="113" t="s">
        <v>298</v>
      </c>
      <c r="G12" s="22"/>
      <c r="H12" s="22"/>
      <c r="I12" s="26"/>
    </row>
    <row r="13" spans="1:18" ht="15" customHeight="1">
      <c r="A13" s="9"/>
      <c r="B13" s="113" t="s">
        <v>251</v>
      </c>
      <c r="C13" s="114">
        <v>12</v>
      </c>
      <c r="D13" s="114">
        <v>24</v>
      </c>
      <c r="E13" s="22"/>
      <c r="F13" s="113" t="s">
        <v>251</v>
      </c>
      <c r="G13" s="114">
        <v>12</v>
      </c>
      <c r="H13" s="114">
        <v>24</v>
      </c>
      <c r="I13" s="26"/>
      <c r="L13" s="106" t="s">
        <v>284</v>
      </c>
    </row>
    <row r="14" spans="1:18" ht="15" customHeight="1">
      <c r="A14" s="9"/>
      <c r="B14" s="115">
        <v>2019</v>
      </c>
      <c r="C14" s="116" t="s">
        <v>252</v>
      </c>
      <c r="D14" s="117">
        <v>3500</v>
      </c>
      <c r="E14" s="22"/>
      <c r="F14" s="115">
        <v>2019</v>
      </c>
      <c r="G14" s="116">
        <v>2500</v>
      </c>
      <c r="H14" s="117">
        <v>4000</v>
      </c>
      <c r="I14" s="26"/>
      <c r="K14" s="24">
        <v>0.5</v>
      </c>
      <c r="M14" s="473" t="s">
        <v>286</v>
      </c>
      <c r="N14" s="473"/>
    </row>
    <row r="15" spans="1:18" ht="15" customHeight="1">
      <c r="A15" s="9"/>
      <c r="B15" s="115">
        <v>2020</v>
      </c>
      <c r="C15" s="118">
        <v>4750</v>
      </c>
      <c r="D15" s="115"/>
      <c r="E15" s="22"/>
      <c r="F15" s="115">
        <v>2020</v>
      </c>
      <c r="G15" s="118">
        <v>2000</v>
      </c>
      <c r="H15" s="115"/>
      <c r="I15" s="26"/>
      <c r="L15" s="119" t="s">
        <v>285</v>
      </c>
      <c r="M15" s="120">
        <f>G22</f>
        <v>2.5000000000000001E-2</v>
      </c>
      <c r="N15" s="120">
        <f>Q11</f>
        <v>1.7500000000000002E-2</v>
      </c>
    </row>
    <row r="16" spans="1:18" ht="15" customHeight="1">
      <c r="A16" s="9"/>
      <c r="B16" s="22"/>
      <c r="C16" s="22"/>
      <c r="D16" s="22"/>
      <c r="E16" s="22"/>
      <c r="F16" s="22"/>
      <c r="G16" s="22"/>
      <c r="H16" s="22"/>
      <c r="I16" s="26"/>
      <c r="L16" s="119">
        <v>0.5</v>
      </c>
      <c r="M16" s="121">
        <f>(1+M$15)^-$L16</f>
        <v>0.9877295966495897</v>
      </c>
      <c r="N16" s="121">
        <f>(1+N$15)^-$L16</f>
        <v>0.99136319419321939</v>
      </c>
    </row>
    <row r="17" spans="1:25" ht="15" customHeight="1">
      <c r="A17" s="9"/>
      <c r="B17" s="22" t="s">
        <v>253</v>
      </c>
      <c r="C17" s="22"/>
      <c r="D17" s="22"/>
      <c r="E17" s="22"/>
      <c r="F17" s="22"/>
      <c r="G17" s="22"/>
      <c r="H17" s="22"/>
      <c r="I17" s="26"/>
      <c r="L17" s="119">
        <v>1.5</v>
      </c>
      <c r="M17" s="121">
        <f>(1+M$15)^-$L17</f>
        <v>0.96363863087764856</v>
      </c>
      <c r="N17" s="121">
        <f>(1+N$15)^-$L17</f>
        <v>0.9743127215658175</v>
      </c>
    </row>
    <row r="18" spans="1:25" ht="15" customHeight="1">
      <c r="A18" s="9"/>
      <c r="B18" s="22" t="s">
        <v>254</v>
      </c>
      <c r="C18" s="22"/>
      <c r="D18" s="22"/>
      <c r="E18" s="22"/>
      <c r="F18" s="22" t="s">
        <v>289</v>
      </c>
      <c r="G18" s="122">
        <v>0.35</v>
      </c>
      <c r="H18" s="22"/>
      <c r="I18" s="26"/>
    </row>
    <row r="19" spans="1:25" ht="15" customHeight="1">
      <c r="A19" s="9"/>
      <c r="B19" s="22" t="s">
        <v>255</v>
      </c>
      <c r="C19" s="22"/>
      <c r="D19" s="22"/>
      <c r="E19" s="22"/>
      <c r="F19" s="22" t="s">
        <v>289</v>
      </c>
      <c r="G19" s="122">
        <v>0.15</v>
      </c>
      <c r="H19" s="22"/>
      <c r="I19" s="26"/>
      <c r="K19" s="24">
        <v>0.25</v>
      </c>
      <c r="L19" s="24" t="s">
        <v>287</v>
      </c>
      <c r="O19" s="112">
        <f>M15</f>
        <v>2.5000000000000001E-2</v>
      </c>
      <c r="P19" s="24" t="s">
        <v>289</v>
      </c>
      <c r="R19" s="137">
        <f>M9*M16+N9*M17</f>
        <v>8081.456179761044</v>
      </c>
    </row>
    <row r="20" spans="1:25" ht="15" customHeight="1">
      <c r="A20" s="9"/>
      <c r="B20" s="22" t="s">
        <v>256</v>
      </c>
      <c r="C20" s="22"/>
      <c r="D20" s="22"/>
      <c r="E20" s="22"/>
      <c r="F20" s="22" t="s">
        <v>289</v>
      </c>
      <c r="G20" s="123">
        <v>1.4999999999999999E-2</v>
      </c>
      <c r="H20" s="22"/>
      <c r="I20" s="26"/>
      <c r="L20" s="24" t="s">
        <v>288</v>
      </c>
      <c r="O20" s="112">
        <f>N15</f>
        <v>1.7500000000000002E-2</v>
      </c>
      <c r="P20" s="24" t="s">
        <v>289</v>
      </c>
      <c r="R20" s="137">
        <f>M9*N16+N9*N17</f>
        <v>8131.1053256351424</v>
      </c>
    </row>
    <row r="21" spans="1:25" ht="15" customHeight="1">
      <c r="A21" s="9"/>
      <c r="B21" s="22" t="s">
        <v>257</v>
      </c>
      <c r="C21" s="22"/>
      <c r="D21" s="22"/>
      <c r="E21" s="22"/>
      <c r="F21" s="22" t="s">
        <v>289</v>
      </c>
      <c r="G21" s="124">
        <v>7.4999999999999997E-3</v>
      </c>
      <c r="H21" s="22"/>
      <c r="I21" s="26"/>
      <c r="L21" s="24" t="s">
        <v>290</v>
      </c>
      <c r="O21" s="112">
        <f>M15</f>
        <v>2.5000000000000001E-2</v>
      </c>
      <c r="P21" s="24" t="s">
        <v>289</v>
      </c>
      <c r="R21" s="137">
        <f>R19*(1-G18)</f>
        <v>5252.9465168446786</v>
      </c>
    </row>
    <row r="22" spans="1:25" ht="15" customHeight="1">
      <c r="A22" s="9"/>
      <c r="B22" s="22" t="s">
        <v>258</v>
      </c>
      <c r="C22" s="22"/>
      <c r="D22" s="22"/>
      <c r="E22" s="22"/>
      <c r="F22" s="22" t="s">
        <v>289</v>
      </c>
      <c r="G22" s="124">
        <v>2.5000000000000001E-2</v>
      </c>
      <c r="H22" s="22"/>
      <c r="I22" s="26"/>
    </row>
    <row r="23" spans="1:25" ht="15" customHeight="1">
      <c r="A23" s="9"/>
      <c r="B23" s="22"/>
      <c r="C23" s="22"/>
      <c r="D23" s="22"/>
      <c r="E23" s="22"/>
      <c r="F23" s="22"/>
      <c r="G23" s="22"/>
      <c r="H23" s="22"/>
      <c r="I23" s="26"/>
      <c r="K23" s="24">
        <v>0.5</v>
      </c>
      <c r="L23" s="24" t="s">
        <v>291</v>
      </c>
      <c r="N23" s="24" t="s">
        <v>289</v>
      </c>
      <c r="R23" s="137">
        <f>R19*G19</f>
        <v>1212.2184269641566</v>
      </c>
    </row>
    <row r="24" spans="1:25" ht="15" customHeight="1">
      <c r="A24" s="9"/>
      <c r="B24" s="125" t="s">
        <v>259</v>
      </c>
      <c r="C24" s="125"/>
      <c r="D24" s="125"/>
      <c r="E24" s="125"/>
      <c r="F24" s="126">
        <v>2020</v>
      </c>
      <c r="G24" s="127">
        <v>2019</v>
      </c>
      <c r="H24" s="22"/>
      <c r="I24" s="26"/>
      <c r="L24" s="24" t="s">
        <v>292</v>
      </c>
      <c r="N24" s="24" t="s">
        <v>289</v>
      </c>
      <c r="R24" s="137">
        <f>R20-R19</f>
        <v>49.649145874098394</v>
      </c>
    </row>
    <row r="25" spans="1:25" ht="15" customHeight="1">
      <c r="A25" s="9"/>
      <c r="B25" s="22" t="s">
        <v>260</v>
      </c>
      <c r="C25" s="22"/>
      <c r="D25" s="22"/>
      <c r="E25" s="22"/>
      <c r="F25" s="128"/>
      <c r="G25" s="129"/>
      <c r="H25" s="22"/>
      <c r="I25" s="26"/>
      <c r="L25" s="24" t="s">
        <v>293</v>
      </c>
      <c r="N25" s="24" t="s">
        <v>289</v>
      </c>
      <c r="R25" s="137">
        <f>R19*G18*G20</f>
        <v>42.427644943745477</v>
      </c>
    </row>
    <row r="26" spans="1:25" ht="15" customHeight="1">
      <c r="A26" s="9"/>
      <c r="B26" s="22"/>
      <c r="C26" s="22" t="s">
        <v>261</v>
      </c>
      <c r="D26" s="22"/>
      <c r="E26" s="22"/>
      <c r="F26" s="130" t="s">
        <v>252</v>
      </c>
      <c r="G26" s="129">
        <v>1500</v>
      </c>
      <c r="H26" s="22"/>
      <c r="I26" s="26"/>
    </row>
    <row r="27" spans="1:25" ht="15" customHeight="1">
      <c r="A27" s="9"/>
      <c r="B27" s="22"/>
      <c r="C27" s="22" t="s">
        <v>262</v>
      </c>
      <c r="D27" s="22"/>
      <c r="E27" s="22"/>
      <c r="F27" s="131" t="s">
        <v>264</v>
      </c>
      <c r="G27" s="129">
        <v>1800</v>
      </c>
      <c r="H27" s="22"/>
      <c r="I27" s="26"/>
      <c r="K27" s="24">
        <v>0.5</v>
      </c>
      <c r="L27" s="24" t="s">
        <v>294</v>
      </c>
      <c r="N27" s="24" t="s">
        <v>289</v>
      </c>
      <c r="R27" s="137">
        <f>R19+R23+R24</f>
        <v>9343.323752599299</v>
      </c>
    </row>
    <row r="28" spans="1:25" ht="15" customHeight="1">
      <c r="A28" s="9"/>
      <c r="B28" s="22" t="s">
        <v>263</v>
      </c>
      <c r="C28" s="22"/>
      <c r="D28" s="22"/>
      <c r="E28" s="22"/>
      <c r="F28" s="128">
        <v>32000</v>
      </c>
      <c r="G28" s="129">
        <v>27500</v>
      </c>
      <c r="H28" s="22"/>
      <c r="I28" s="26"/>
      <c r="L28" s="24" t="s">
        <v>295</v>
      </c>
      <c r="N28" s="24" t="s">
        <v>289</v>
      </c>
      <c r="R28" s="137">
        <f>R27*G18-R25</f>
        <v>3227.735668466009</v>
      </c>
    </row>
    <row r="29" spans="1:25" ht="15" customHeight="1">
      <c r="A29" s="9"/>
      <c r="B29" s="22"/>
      <c r="C29" s="22"/>
      <c r="D29" s="22"/>
      <c r="E29" s="22"/>
      <c r="F29" s="22"/>
      <c r="G29" s="22"/>
      <c r="H29" s="22"/>
      <c r="I29" s="26"/>
      <c r="L29" s="24" t="s">
        <v>296</v>
      </c>
      <c r="N29" s="24" t="s">
        <v>289</v>
      </c>
      <c r="R29" s="137">
        <f>R27-R28</f>
        <v>6115.5880841332901</v>
      </c>
      <c r="S29" s="101" t="s">
        <v>297</v>
      </c>
    </row>
    <row r="30" spans="1:25" ht="15" customHeight="1">
      <c r="A30" s="9"/>
      <c r="B30" s="125" t="s">
        <v>265</v>
      </c>
      <c r="C30" s="125"/>
      <c r="D30" s="125"/>
      <c r="E30" s="125"/>
      <c r="F30" s="126">
        <v>2020</v>
      </c>
      <c r="G30" s="127">
        <v>2019</v>
      </c>
      <c r="H30" s="22"/>
      <c r="I30" s="26"/>
    </row>
    <row r="31" spans="1:25" ht="15" customHeight="1">
      <c r="A31" s="9"/>
      <c r="B31" s="22" t="s">
        <v>261</v>
      </c>
      <c r="C31" s="22"/>
      <c r="D31" s="22"/>
      <c r="E31" s="22"/>
      <c r="F31" s="132" t="s">
        <v>252</v>
      </c>
      <c r="G31" s="129">
        <v>3100</v>
      </c>
      <c r="H31" s="22"/>
      <c r="I31" s="26"/>
      <c r="K31" s="148">
        <v>0.25</v>
      </c>
      <c r="L31" s="138" t="s">
        <v>264</v>
      </c>
      <c r="M31" s="151" t="s">
        <v>505</v>
      </c>
      <c r="N31" s="139"/>
      <c r="O31" s="139"/>
      <c r="P31" s="139"/>
      <c r="Q31" s="139"/>
      <c r="R31" s="140">
        <f>R28</f>
        <v>3227.735668466009</v>
      </c>
      <c r="S31" s="139"/>
      <c r="T31" s="139"/>
      <c r="U31" s="139"/>
      <c r="V31" s="139"/>
      <c r="W31" s="139"/>
      <c r="X31" s="139"/>
      <c r="Y31" s="141"/>
    </row>
    <row r="32" spans="1:25" ht="15" customHeight="1">
      <c r="A32" s="9"/>
      <c r="B32" s="22" t="s">
        <v>262</v>
      </c>
      <c r="C32" s="22"/>
      <c r="D32" s="22"/>
      <c r="E32" s="22"/>
      <c r="F32" s="133" t="s">
        <v>266</v>
      </c>
      <c r="G32" s="129">
        <v>4544</v>
      </c>
      <c r="H32" s="22"/>
      <c r="I32" s="26"/>
      <c r="K32" s="149">
        <v>0.25</v>
      </c>
      <c r="L32" s="142" t="s">
        <v>266</v>
      </c>
      <c r="M32" s="142" t="s">
        <v>505</v>
      </c>
      <c r="N32" s="34"/>
      <c r="O32" s="34"/>
      <c r="P32" s="34"/>
      <c r="Q32" s="34"/>
      <c r="R32" s="143">
        <f>R27</f>
        <v>9343.323752599299</v>
      </c>
      <c r="S32" s="34"/>
      <c r="T32" s="34"/>
      <c r="U32" s="34"/>
      <c r="V32" s="34"/>
      <c r="W32" s="34"/>
      <c r="X32" s="34"/>
      <c r="Y32" s="110"/>
    </row>
    <row r="33" spans="1:25" ht="15" customHeight="1">
      <c r="A33" s="9"/>
      <c r="B33" s="22"/>
      <c r="C33" s="22"/>
      <c r="D33" s="22"/>
      <c r="E33" s="22"/>
      <c r="F33" s="22"/>
      <c r="G33" s="22"/>
      <c r="H33" s="22"/>
      <c r="I33" s="26"/>
      <c r="K33" s="149">
        <v>0.25</v>
      </c>
      <c r="L33" s="142" t="s">
        <v>274</v>
      </c>
      <c r="M33" s="142" t="s">
        <v>505</v>
      </c>
      <c r="N33" s="34"/>
      <c r="O33" s="34"/>
      <c r="P33" s="34"/>
      <c r="Q33" s="34"/>
      <c r="R33" s="143">
        <f>R32-G32+(H14-G14)+G15</f>
        <v>8299.323752599299</v>
      </c>
      <c r="S33" s="144" t="s">
        <v>299</v>
      </c>
      <c r="T33" s="34"/>
      <c r="U33" s="34"/>
      <c r="V33" s="34"/>
      <c r="W33" s="34"/>
      <c r="X33" s="34"/>
      <c r="Y33" s="110"/>
    </row>
    <row r="34" spans="1:25" ht="15" customHeight="1">
      <c r="A34" s="9"/>
      <c r="B34" s="125" t="s">
        <v>267</v>
      </c>
      <c r="C34" s="125"/>
      <c r="D34" s="125"/>
      <c r="E34" s="125"/>
      <c r="F34" s="126">
        <v>2020</v>
      </c>
      <c r="G34" s="127">
        <v>2019</v>
      </c>
      <c r="H34" s="22"/>
      <c r="I34" s="26"/>
      <c r="K34" s="149">
        <v>0.25</v>
      </c>
      <c r="L34" s="142" t="s">
        <v>275</v>
      </c>
      <c r="M34" s="142" t="s">
        <v>505</v>
      </c>
      <c r="N34" s="34"/>
      <c r="O34" s="34"/>
      <c r="P34" s="34"/>
      <c r="Q34" s="34"/>
      <c r="R34" s="143">
        <f>R31-G27+G18*(H14-G14+G15)</f>
        <v>2652.735668466009</v>
      </c>
      <c r="S34" s="144" t="s">
        <v>300</v>
      </c>
      <c r="T34" s="34"/>
      <c r="U34" s="34"/>
      <c r="V34" s="34"/>
      <c r="W34" s="34"/>
      <c r="X34" s="34"/>
      <c r="Y34" s="110"/>
    </row>
    <row r="35" spans="1:25" ht="15" customHeight="1">
      <c r="A35" s="9"/>
      <c r="B35" s="22" t="s">
        <v>268</v>
      </c>
      <c r="C35" s="22"/>
      <c r="D35" s="22"/>
      <c r="E35" s="22"/>
      <c r="F35" s="134">
        <v>17250</v>
      </c>
      <c r="G35" s="129">
        <v>15633</v>
      </c>
      <c r="H35" s="22"/>
      <c r="I35" s="26"/>
      <c r="K35" s="150">
        <v>0.25</v>
      </c>
      <c r="L35" s="145" t="s">
        <v>127</v>
      </c>
      <c r="M35" s="145" t="s">
        <v>505</v>
      </c>
      <c r="N35" s="108"/>
      <c r="O35" s="108"/>
      <c r="P35" s="108"/>
      <c r="Q35" s="108"/>
      <c r="R35" s="146">
        <f>R33-R34</f>
        <v>5646.5880841332901</v>
      </c>
      <c r="S35" s="147" t="s">
        <v>297</v>
      </c>
      <c r="T35" s="108"/>
      <c r="U35" s="108"/>
      <c r="V35" s="108"/>
      <c r="W35" s="108"/>
      <c r="X35" s="108"/>
      <c r="Y35" s="109"/>
    </row>
    <row r="36" spans="1:25" ht="15" customHeight="1">
      <c r="A36" s="9"/>
      <c r="B36" s="22" t="s">
        <v>269</v>
      </c>
      <c r="C36" s="22"/>
      <c r="D36" s="22"/>
      <c r="E36" s="22"/>
      <c r="F36" s="128">
        <v>15622</v>
      </c>
      <c r="G36" s="135" t="s">
        <v>252</v>
      </c>
      <c r="H36" s="22"/>
      <c r="I36" s="26"/>
    </row>
    <row r="37" spans="1:25" ht="15" customHeight="1">
      <c r="A37" s="9"/>
      <c r="B37" s="22" t="s">
        <v>270</v>
      </c>
      <c r="C37" s="22"/>
      <c r="D37" s="22"/>
      <c r="E37" s="22"/>
      <c r="F37" s="133" t="s">
        <v>274</v>
      </c>
      <c r="G37" s="136" t="s">
        <v>252</v>
      </c>
      <c r="H37" s="22"/>
      <c r="I37" s="26"/>
    </row>
    <row r="38" spans="1:25" ht="15" customHeight="1">
      <c r="A38" s="9"/>
      <c r="B38" s="22" t="s">
        <v>271</v>
      </c>
      <c r="C38" s="22"/>
      <c r="D38" s="22"/>
      <c r="E38" s="22"/>
      <c r="F38" s="133" t="s">
        <v>275</v>
      </c>
      <c r="G38" s="136" t="s">
        <v>252</v>
      </c>
      <c r="H38" s="22"/>
      <c r="I38" s="26"/>
    </row>
    <row r="39" spans="1:25" ht="15" customHeight="1">
      <c r="A39" s="9"/>
      <c r="B39" s="22" t="s">
        <v>272</v>
      </c>
      <c r="C39" s="22"/>
      <c r="D39" s="22"/>
      <c r="E39" s="22"/>
      <c r="F39" s="133" t="s">
        <v>127</v>
      </c>
      <c r="G39" s="136" t="s">
        <v>252</v>
      </c>
      <c r="H39" s="22"/>
      <c r="I39" s="26"/>
    </row>
    <row r="40" spans="1:25" ht="15" customHeight="1">
      <c r="A40" s="9"/>
      <c r="B40" s="22" t="s">
        <v>273</v>
      </c>
      <c r="C40" s="22"/>
      <c r="D40" s="22"/>
      <c r="E40" s="22"/>
      <c r="F40" s="128">
        <v>1275</v>
      </c>
      <c r="G40" s="136" t="s">
        <v>252</v>
      </c>
      <c r="H40" s="22"/>
      <c r="I40" s="26"/>
    </row>
    <row r="41" spans="1:25" ht="15" customHeight="1">
      <c r="A41" s="25"/>
      <c r="B41" s="22"/>
      <c r="C41" s="22"/>
      <c r="D41" s="22"/>
      <c r="E41" s="22"/>
      <c r="F41" s="22"/>
      <c r="G41" s="22"/>
      <c r="H41" s="22"/>
      <c r="I41" s="26"/>
    </row>
    <row r="42" spans="1:25" ht="15" customHeight="1">
      <c r="A42" s="29" t="s">
        <v>2</v>
      </c>
      <c r="B42" s="22" t="s">
        <v>276</v>
      </c>
      <c r="C42" s="22"/>
      <c r="D42" s="22"/>
      <c r="E42" s="22"/>
      <c r="F42" s="22"/>
      <c r="G42" s="22"/>
      <c r="H42" s="22"/>
      <c r="I42" s="26"/>
    </row>
    <row r="43" spans="1:25" ht="15" customHeight="1" thickBot="1">
      <c r="A43" s="9">
        <f>INDEX('Point Grid'!$C$8:$I$35,MATCH($A$1,'Point Grid'!$A$8:$A$35,0),MATCH(A42,'Point Grid'!$C$7:$I$7,0))</f>
        <v>3.25</v>
      </c>
      <c r="B43" s="22"/>
      <c r="C43" s="22"/>
      <c r="D43" s="22"/>
      <c r="E43" s="22"/>
      <c r="F43" s="22"/>
      <c r="G43" s="22"/>
      <c r="H43" s="22"/>
      <c r="I43" s="26"/>
    </row>
    <row r="44" spans="1:25" ht="15" customHeight="1" thickBot="1">
      <c r="A44" s="5"/>
      <c r="B44" s="22"/>
      <c r="C44" s="22"/>
      <c r="D44" s="22"/>
      <c r="E44" s="22"/>
      <c r="F44" s="22"/>
      <c r="G44" s="22"/>
      <c r="H44" s="22"/>
      <c r="I44" s="26"/>
    </row>
    <row r="45" spans="1:25" ht="15" customHeight="1">
      <c r="A45" s="31"/>
      <c r="B45" s="22"/>
      <c r="C45" s="22"/>
      <c r="D45" s="22"/>
      <c r="E45" s="22"/>
      <c r="F45" s="22"/>
      <c r="G45" s="22"/>
      <c r="H45" s="22"/>
      <c r="I45" s="26"/>
    </row>
    <row r="46" spans="1:25" ht="15" customHeight="1" thickBot="1">
      <c r="A46" s="27"/>
      <c r="B46" s="27"/>
      <c r="C46" s="27"/>
      <c r="D46" s="27"/>
      <c r="E46" s="27"/>
      <c r="F46" s="27"/>
      <c r="G46" s="27"/>
      <c r="H46" s="27"/>
      <c r="I46" s="28"/>
    </row>
    <row r="47" spans="1:25" ht="15" customHeight="1"/>
    <row r="48" spans="1:25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</sheetData>
  <mergeCells count="2">
    <mergeCell ref="H1:I1"/>
    <mergeCell ref="M14:N14"/>
  </mergeCells>
  <conditionalFormatting sqref="B1">
    <cfRule type="cellIs" dxfId="61" priority="1" operator="equal">
      <formula>"Incomplete"</formula>
    </cfRule>
    <cfRule type="cellIs" dxfId="60" priority="2" operator="equal">
      <formula>"Flag for Review"</formula>
    </cfRule>
    <cfRule type="cellIs" dxfId="59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0" ht="15" customHeight="1">
      <c r="A1" s="7">
        <v>13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1"/>
      <c r="K1" s="24" t="s">
        <v>316</v>
      </c>
      <c r="L1"/>
      <c r="M1"/>
    </row>
    <row r="2" spans="1:20" ht="15" customHeight="1">
      <c r="A2" s="25"/>
      <c r="B2" s="22"/>
      <c r="C2" s="22"/>
      <c r="D2" s="22"/>
      <c r="E2" s="22"/>
      <c r="F2" s="22"/>
      <c r="G2" s="22"/>
      <c r="H2" s="22"/>
      <c r="I2" s="26"/>
    </row>
    <row r="3" spans="1:20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</row>
    <row r="4" spans="1:20" ht="15" customHeight="1">
      <c r="A4" s="9">
        <f>INDEX('Point Grid'!B:B,MATCH($A$1,'Point Grid'!A:A,0))</f>
        <v>2.25</v>
      </c>
      <c r="B4" s="22"/>
      <c r="C4" s="22"/>
      <c r="D4" s="22"/>
      <c r="E4" s="22"/>
      <c r="F4" s="22"/>
      <c r="G4" s="22"/>
      <c r="H4" s="22"/>
      <c r="I4" s="26"/>
      <c r="K4" s="183" t="s">
        <v>2</v>
      </c>
      <c r="L4" s="186" t="s">
        <v>713</v>
      </c>
      <c r="M4" s="50"/>
      <c r="N4" s="50"/>
      <c r="O4" s="50"/>
      <c r="P4" s="50"/>
      <c r="Q4" s="50"/>
      <c r="R4" s="50"/>
      <c r="S4" s="50"/>
      <c r="T4" s="184"/>
    </row>
    <row r="5" spans="1:20" ht="15" customHeight="1">
      <c r="A5" s="25"/>
      <c r="B5" s="22"/>
      <c r="C5" s="22"/>
      <c r="D5" s="22"/>
      <c r="E5" s="22"/>
      <c r="F5" s="22"/>
      <c r="G5" s="22"/>
      <c r="H5" s="22"/>
      <c r="I5" s="26"/>
      <c r="L5" s="186" t="s">
        <v>714</v>
      </c>
      <c r="M5" s="50"/>
      <c r="N5" s="50"/>
      <c r="O5" s="50"/>
      <c r="P5" s="50"/>
      <c r="Q5" s="50"/>
      <c r="R5" s="50"/>
      <c r="S5" s="50"/>
      <c r="T5" s="184"/>
    </row>
    <row r="6" spans="1:20" ht="15" customHeight="1">
      <c r="A6" s="29" t="s">
        <v>2</v>
      </c>
      <c r="B6" s="22" t="s">
        <v>715</v>
      </c>
      <c r="C6" s="22"/>
      <c r="D6" s="22"/>
      <c r="E6" s="22"/>
      <c r="F6" s="22"/>
      <c r="G6" s="22"/>
      <c r="H6" s="22"/>
      <c r="I6" s="26"/>
      <c r="L6" s="291" t="s">
        <v>716</v>
      </c>
      <c r="M6" s="50"/>
      <c r="N6" s="50"/>
      <c r="O6" s="50"/>
      <c r="P6" s="50"/>
      <c r="Q6" s="50"/>
      <c r="R6" s="50"/>
      <c r="S6" s="50"/>
      <c r="T6" s="184"/>
    </row>
    <row r="7" spans="1:20" ht="15" customHeight="1" thickBot="1">
      <c r="A7" s="9">
        <f>INDEX('Point Grid'!$C$8:$I$35,MATCH($A$1,'Point Grid'!$A$8:$A$35,0),MATCH(A6,'Point Grid'!$C$7:$I$7,0))</f>
        <v>1.5</v>
      </c>
      <c r="B7" s="22"/>
      <c r="C7" s="22"/>
      <c r="D7" s="22"/>
      <c r="E7" s="22"/>
      <c r="F7" s="22"/>
      <c r="G7" s="22"/>
      <c r="H7" s="22"/>
      <c r="I7" s="26"/>
      <c r="L7" s="50"/>
      <c r="M7" s="50"/>
      <c r="N7" s="50"/>
      <c r="O7" s="50"/>
      <c r="P7" s="50"/>
      <c r="Q7" s="50"/>
      <c r="R7" s="50"/>
      <c r="S7" s="50"/>
      <c r="T7" s="184"/>
    </row>
    <row r="8" spans="1:20" ht="15" customHeight="1" thickBot="1">
      <c r="A8" s="5"/>
      <c r="B8" s="152" t="s">
        <v>717</v>
      </c>
      <c r="C8" s="192">
        <v>372450</v>
      </c>
      <c r="D8" s="292"/>
      <c r="E8" s="293" t="s">
        <v>286</v>
      </c>
      <c r="F8" s="294"/>
      <c r="G8" s="295">
        <v>3.5000000000000003E-2</v>
      </c>
      <c r="H8" s="22"/>
      <c r="I8" s="26"/>
      <c r="L8" s="184" t="s">
        <v>718</v>
      </c>
      <c r="M8" s="259" t="s">
        <v>521</v>
      </c>
      <c r="N8" s="259" t="s">
        <v>719</v>
      </c>
      <c r="O8" s="259" t="s">
        <v>529</v>
      </c>
      <c r="P8" s="296" t="s">
        <v>720</v>
      </c>
      <c r="Q8" s="297"/>
      <c r="R8" s="259" t="s">
        <v>524</v>
      </c>
      <c r="S8" s="259" t="s">
        <v>721</v>
      </c>
      <c r="T8" s="184"/>
    </row>
    <row r="9" spans="1:20" ht="15" customHeight="1">
      <c r="A9" s="31"/>
      <c r="B9" s="154" t="s">
        <v>722</v>
      </c>
      <c r="C9" s="196">
        <v>30368</v>
      </c>
      <c r="D9" s="292"/>
      <c r="E9" s="154" t="s">
        <v>723</v>
      </c>
      <c r="F9" s="95"/>
      <c r="G9" s="298" t="s">
        <v>724</v>
      </c>
      <c r="H9" s="22"/>
      <c r="I9" s="26"/>
      <c r="L9" s="50"/>
      <c r="M9" s="259" t="s">
        <v>521</v>
      </c>
      <c r="N9" s="299">
        <f>C8</f>
        <v>372450</v>
      </c>
      <c r="O9" s="259" t="s">
        <v>529</v>
      </c>
      <c r="P9" s="244">
        <f>N15</f>
        <v>354764</v>
      </c>
      <c r="Q9" s="50"/>
      <c r="R9" s="259" t="s">
        <v>524</v>
      </c>
      <c r="S9" s="299">
        <f>G15</f>
        <v>7038</v>
      </c>
      <c r="T9" s="184"/>
    </row>
    <row r="10" spans="1:20" ht="15" customHeight="1">
      <c r="A10" s="22"/>
      <c r="B10" s="154" t="s">
        <v>725</v>
      </c>
      <c r="C10" s="300">
        <v>5</v>
      </c>
      <c r="D10" s="292"/>
      <c r="E10" s="154" t="s">
        <v>726</v>
      </c>
      <c r="F10" s="95"/>
      <c r="G10" s="298">
        <v>7.0000000000000007E-2</v>
      </c>
      <c r="H10" s="22"/>
      <c r="I10" s="26"/>
      <c r="L10" s="50"/>
      <c r="M10" s="259" t="s">
        <v>521</v>
      </c>
      <c r="N10" s="301">
        <f>N9-P9+S9</f>
        <v>24724</v>
      </c>
      <c r="O10" s="302" t="s">
        <v>727</v>
      </c>
      <c r="P10" s="50"/>
      <c r="Q10" s="50"/>
      <c r="R10" s="50"/>
      <c r="S10" s="50"/>
      <c r="T10" s="184"/>
    </row>
    <row r="11" spans="1:20" ht="15" customHeight="1">
      <c r="A11" s="22"/>
      <c r="B11" s="155" t="s">
        <v>728</v>
      </c>
      <c r="C11" s="303">
        <v>14630</v>
      </c>
      <c r="D11" s="292"/>
      <c r="E11" s="155" t="s">
        <v>729</v>
      </c>
      <c r="F11" s="200"/>
      <c r="G11" s="304">
        <v>1.4999999999999999E-2</v>
      </c>
      <c r="H11" s="22"/>
      <c r="I11" s="26"/>
      <c r="L11" s="50"/>
      <c r="M11" s="50"/>
      <c r="N11" s="50"/>
      <c r="O11" s="50"/>
      <c r="P11" s="50"/>
      <c r="Q11" s="50"/>
      <c r="R11" s="50"/>
      <c r="S11" s="50"/>
      <c r="T11" s="184"/>
    </row>
    <row r="12" spans="1:20" ht="15" customHeight="1">
      <c r="A12" s="22"/>
      <c r="B12" s="292"/>
      <c r="C12" s="292"/>
      <c r="D12" s="292"/>
      <c r="E12" s="292"/>
      <c r="F12" s="204"/>
      <c r="G12" s="204"/>
      <c r="H12" s="22"/>
      <c r="I12" s="26"/>
      <c r="L12" s="50" t="s">
        <v>720</v>
      </c>
      <c r="M12" s="50"/>
      <c r="N12" s="50"/>
      <c r="O12" s="50"/>
      <c r="P12" s="50"/>
      <c r="Q12" s="50"/>
      <c r="R12" s="50"/>
      <c r="S12" s="50"/>
      <c r="T12" s="184"/>
    </row>
    <row r="13" spans="1:20" ht="15" customHeight="1">
      <c r="A13" s="22"/>
      <c r="B13" s="305" t="s">
        <v>730</v>
      </c>
      <c r="C13" s="306">
        <v>300000</v>
      </c>
      <c r="D13" s="292"/>
      <c r="E13" s="152" t="s">
        <v>731</v>
      </c>
      <c r="F13" s="307"/>
      <c r="G13" s="156">
        <v>341016</v>
      </c>
      <c r="H13" s="292"/>
      <c r="I13" s="26"/>
      <c r="L13" s="50"/>
      <c r="M13" s="182" t="s">
        <v>521</v>
      </c>
      <c r="N13" s="182" t="s">
        <v>730</v>
      </c>
      <c r="O13" s="182" t="s">
        <v>524</v>
      </c>
      <c r="P13" s="182" t="s">
        <v>722</v>
      </c>
      <c r="Q13" s="182" t="s">
        <v>524</v>
      </c>
      <c r="R13" s="50" t="s">
        <v>732</v>
      </c>
      <c r="S13" s="50"/>
      <c r="T13" s="184"/>
    </row>
    <row r="14" spans="1:20" ht="15" customHeight="1">
      <c r="A14" s="22"/>
      <c r="B14" s="292"/>
      <c r="C14" s="292"/>
      <c r="D14" s="292">
        <f t="shared" ref="D14:D15" ca="1" si="0">ROUND(C14*RANDBETWEEN(50,60)/10,0)</f>
        <v>0</v>
      </c>
      <c r="E14" s="154" t="s">
        <v>732</v>
      </c>
      <c r="F14" s="308"/>
      <c r="G14" s="309">
        <v>24396</v>
      </c>
      <c r="H14" s="292"/>
      <c r="I14" s="26"/>
      <c r="L14" s="50"/>
      <c r="M14" s="182" t="s">
        <v>521</v>
      </c>
      <c r="N14" s="299">
        <f>C13</f>
        <v>300000</v>
      </c>
      <c r="O14" s="182" t="s">
        <v>524</v>
      </c>
      <c r="P14" s="299">
        <f>C9</f>
        <v>30368</v>
      </c>
      <c r="Q14" s="182" t="s">
        <v>524</v>
      </c>
      <c r="R14" s="299">
        <f>G14</f>
        <v>24396</v>
      </c>
      <c r="S14" s="50"/>
      <c r="T14" s="184"/>
    </row>
    <row r="15" spans="1:20" ht="15" customHeight="1">
      <c r="A15" s="22"/>
      <c r="B15" s="292"/>
      <c r="C15" s="292"/>
      <c r="D15" s="292">
        <f t="shared" ca="1" si="0"/>
        <v>0</v>
      </c>
      <c r="E15" s="155" t="s">
        <v>721</v>
      </c>
      <c r="F15" s="310"/>
      <c r="G15" s="311">
        <v>7038</v>
      </c>
      <c r="H15" s="292"/>
      <c r="I15" s="26"/>
      <c r="L15" s="50"/>
      <c r="M15" s="182" t="s">
        <v>521</v>
      </c>
      <c r="N15" s="312">
        <f>N14+P14+R14</f>
        <v>354764</v>
      </c>
      <c r="O15" s="50"/>
      <c r="P15" s="50"/>
      <c r="Q15" s="50"/>
      <c r="R15" s="50"/>
      <c r="S15" s="50"/>
      <c r="T15" s="184"/>
    </row>
    <row r="16" spans="1:20" ht="15" customHeight="1">
      <c r="A16" s="25"/>
      <c r="B16" s="22"/>
      <c r="C16" s="22"/>
      <c r="D16" s="22"/>
      <c r="E16" s="22"/>
      <c r="F16" s="22"/>
      <c r="G16" s="22"/>
      <c r="H16" s="22"/>
      <c r="I16" s="26"/>
    </row>
    <row r="17" spans="1:20" ht="15" customHeight="1">
      <c r="A17" s="29" t="s">
        <v>3</v>
      </c>
      <c r="B17" s="22" t="s">
        <v>733</v>
      </c>
      <c r="C17" s="22"/>
      <c r="D17" s="22"/>
      <c r="E17" s="22"/>
      <c r="F17" s="22"/>
      <c r="G17" s="22"/>
      <c r="H17" s="22"/>
      <c r="I17" s="26"/>
    </row>
    <row r="18" spans="1:20" ht="15" customHeight="1" thickBot="1">
      <c r="A18" s="9">
        <f>INDEX('Point Grid'!$C$8:$I$35,MATCH($A$1,'Point Grid'!$A$8:$A$35,0),MATCH(A17,'Point Grid'!$C$7:$I$7,0))</f>
        <v>0.5</v>
      </c>
      <c r="B18" s="22"/>
      <c r="C18" s="22"/>
      <c r="D18" s="22"/>
      <c r="E18" s="22"/>
      <c r="F18" s="22"/>
      <c r="G18" s="22"/>
      <c r="H18" s="22"/>
      <c r="I18" s="26"/>
      <c r="K18" s="183" t="s">
        <v>3</v>
      </c>
      <c r="L18" s="50" t="s">
        <v>734</v>
      </c>
    </row>
    <row r="19" spans="1:20" ht="15" customHeight="1" thickBot="1">
      <c r="A19" s="5"/>
      <c r="B19" s="22"/>
      <c r="C19" s="22"/>
      <c r="D19" s="22"/>
      <c r="E19" s="22"/>
      <c r="F19" s="22"/>
      <c r="G19" s="22"/>
      <c r="H19" s="22"/>
      <c r="I19" s="26"/>
      <c r="L19" s="50" t="s">
        <v>735</v>
      </c>
    </row>
    <row r="20" spans="1:20" ht="15" customHeight="1">
      <c r="A20" s="25"/>
      <c r="B20" s="22"/>
      <c r="C20" s="22"/>
      <c r="D20" s="22"/>
      <c r="E20" s="22"/>
      <c r="F20" s="22"/>
      <c r="G20" s="22"/>
      <c r="H20" s="22"/>
      <c r="I20" s="26"/>
      <c r="L20" s="186" t="s">
        <v>736</v>
      </c>
    </row>
    <row r="21" spans="1:20" ht="15" customHeight="1">
      <c r="A21" s="25"/>
      <c r="B21" s="22"/>
      <c r="C21" s="22"/>
      <c r="D21" s="22"/>
      <c r="E21" s="22"/>
      <c r="F21" s="22"/>
      <c r="G21" s="22"/>
      <c r="H21" s="22"/>
      <c r="I21" s="26"/>
    </row>
    <row r="22" spans="1:20" ht="15" customHeight="1">
      <c r="A22" s="29" t="s">
        <v>4</v>
      </c>
      <c r="B22" s="22" t="s">
        <v>737</v>
      </c>
      <c r="C22" s="22"/>
      <c r="D22" s="22"/>
      <c r="E22" s="22"/>
      <c r="F22" s="22"/>
      <c r="G22" s="22"/>
      <c r="H22" s="22"/>
      <c r="I22" s="26"/>
      <c r="L22" s="313" t="s">
        <v>738</v>
      </c>
      <c r="M22" s="50"/>
      <c r="N22" s="50"/>
      <c r="O22" s="50"/>
      <c r="P22" s="50"/>
      <c r="Q22" s="314"/>
      <c r="R22" s="314"/>
      <c r="S22" s="314"/>
      <c r="T22" s="314"/>
    </row>
    <row r="23" spans="1:20" ht="15" customHeight="1" thickBot="1">
      <c r="A23" s="9">
        <f>INDEX('Point Grid'!$C$8:$I$35,MATCH($A$1,'Point Grid'!$A$8:$A$35,0),MATCH(A22,'Point Grid'!$C$7:$I$7,0))</f>
        <v>0.25</v>
      </c>
      <c r="B23" s="22"/>
      <c r="C23" s="22"/>
      <c r="D23" s="22"/>
      <c r="E23" s="22"/>
      <c r="F23" s="22"/>
      <c r="G23" s="22"/>
      <c r="H23" s="22"/>
      <c r="I23" s="26"/>
      <c r="K23" s="183"/>
    </row>
    <row r="24" spans="1:20" ht="15" customHeight="1" thickBot="1">
      <c r="A24" s="5"/>
      <c r="B24" s="22"/>
      <c r="C24" s="22"/>
      <c r="D24" s="22"/>
      <c r="E24" s="22"/>
      <c r="F24" s="22"/>
      <c r="G24" s="22"/>
      <c r="H24" s="22"/>
      <c r="I24" s="26"/>
    </row>
    <row r="25" spans="1:20" ht="15" customHeight="1">
      <c r="A25" s="25"/>
      <c r="B25" s="22"/>
      <c r="C25" s="22"/>
      <c r="D25" s="22"/>
      <c r="E25" s="22"/>
      <c r="F25" s="22"/>
      <c r="G25" s="22"/>
      <c r="H25" s="22"/>
      <c r="I25" s="26"/>
      <c r="K25" s="183" t="s">
        <v>4</v>
      </c>
      <c r="L25" s="315" t="s">
        <v>739</v>
      </c>
      <c r="M25" s="186" t="s">
        <v>740</v>
      </c>
    </row>
    <row r="26" spans="1:20" ht="15" customHeight="1">
      <c r="A26" s="25"/>
      <c r="B26" s="22"/>
      <c r="C26" s="22"/>
      <c r="D26" s="22"/>
      <c r="E26" s="22"/>
      <c r="F26" s="22"/>
      <c r="G26" s="22"/>
      <c r="H26" s="22"/>
      <c r="I26" s="26"/>
      <c r="L26" s="316" t="s">
        <v>741</v>
      </c>
      <c r="M26" s="186"/>
    </row>
    <row r="27" spans="1:20" ht="15" customHeight="1">
      <c r="A27" s="25"/>
      <c r="B27" s="22"/>
      <c r="C27" s="22"/>
      <c r="D27" s="22"/>
      <c r="E27" s="22"/>
      <c r="F27" s="22"/>
      <c r="G27" s="22"/>
      <c r="H27" s="22"/>
      <c r="I27" s="26"/>
      <c r="L27" s="316" t="s">
        <v>742</v>
      </c>
      <c r="M27" s="184"/>
    </row>
    <row r="28" spans="1:20" ht="15" customHeight="1">
      <c r="A28" s="25"/>
      <c r="B28" s="22"/>
      <c r="C28" s="22"/>
      <c r="D28" s="22"/>
      <c r="E28" s="22"/>
      <c r="F28" s="22"/>
      <c r="G28" s="22"/>
      <c r="H28" s="22"/>
      <c r="I28" s="26"/>
      <c r="L28" s="316" t="s">
        <v>743</v>
      </c>
      <c r="M28" s="186"/>
    </row>
    <row r="29" spans="1:20" ht="15" customHeight="1">
      <c r="A29" s="25"/>
      <c r="B29" s="22"/>
      <c r="C29" s="22"/>
      <c r="D29" s="22"/>
      <c r="E29" s="22"/>
      <c r="F29" s="22"/>
      <c r="G29" s="22"/>
      <c r="H29" s="22"/>
      <c r="I29" s="26"/>
    </row>
    <row r="30" spans="1:20" ht="15" customHeight="1">
      <c r="A30" s="25"/>
      <c r="B30" s="22"/>
      <c r="C30" s="22"/>
      <c r="D30" s="22"/>
      <c r="E30" s="22"/>
      <c r="F30" s="22"/>
      <c r="G30" s="22"/>
      <c r="H30" s="22"/>
      <c r="I30" s="26"/>
    </row>
    <row r="31" spans="1:20" ht="15" customHeight="1">
      <c r="A31" s="25"/>
      <c r="B31" s="22"/>
      <c r="C31" s="22"/>
      <c r="D31" s="22"/>
      <c r="E31" s="22"/>
      <c r="F31" s="22"/>
      <c r="G31" s="22"/>
      <c r="H31" s="22"/>
      <c r="I31" s="26"/>
    </row>
    <row r="32" spans="1:20" ht="15" customHeight="1">
      <c r="A32" s="25"/>
      <c r="B32" s="22"/>
      <c r="C32" s="22"/>
      <c r="D32" s="22"/>
      <c r="E32" s="22"/>
      <c r="F32" s="22"/>
      <c r="G32" s="22"/>
      <c r="H32" s="22"/>
      <c r="I32" s="26"/>
    </row>
    <row r="33" spans="1:9" ht="15" customHeight="1">
      <c r="A33" s="25"/>
      <c r="B33" s="22"/>
      <c r="C33" s="22"/>
      <c r="D33" s="22"/>
      <c r="E33" s="22"/>
      <c r="F33" s="22"/>
      <c r="G33" s="22"/>
      <c r="H33" s="22"/>
      <c r="I33" s="26"/>
    </row>
    <row r="34" spans="1:9" ht="15" customHeight="1">
      <c r="A34" s="25"/>
      <c r="B34" s="22"/>
      <c r="C34" s="22"/>
      <c r="D34" s="22"/>
      <c r="E34" s="22"/>
      <c r="F34" s="22"/>
      <c r="G34" s="22"/>
      <c r="H34" s="22"/>
      <c r="I34" s="26"/>
    </row>
    <row r="35" spans="1:9" ht="15" customHeight="1">
      <c r="A35" s="25"/>
      <c r="B35" s="22"/>
      <c r="C35" s="22"/>
      <c r="D35" s="22"/>
      <c r="E35" s="22"/>
      <c r="F35" s="22"/>
      <c r="G35" s="22"/>
      <c r="H35" s="22"/>
      <c r="I35" s="26"/>
    </row>
    <row r="36" spans="1:9" ht="15" customHeight="1">
      <c r="A36" s="25"/>
      <c r="B36" s="22"/>
      <c r="C36" s="22"/>
      <c r="D36" s="22"/>
      <c r="E36" s="22"/>
      <c r="F36" s="22"/>
      <c r="G36" s="22"/>
      <c r="H36" s="22"/>
      <c r="I36" s="26"/>
    </row>
    <row r="37" spans="1:9" ht="15" customHeight="1">
      <c r="A37" s="25"/>
      <c r="B37" s="22"/>
      <c r="C37" s="22"/>
      <c r="D37" s="22"/>
      <c r="E37" s="22"/>
      <c r="F37" s="22"/>
      <c r="G37" s="22"/>
      <c r="H37" s="22"/>
      <c r="I37" s="26"/>
    </row>
    <row r="38" spans="1:9" ht="15" customHeight="1">
      <c r="A38" s="25"/>
      <c r="B38" s="22"/>
      <c r="C38" s="22"/>
      <c r="D38" s="22"/>
      <c r="E38" s="22"/>
      <c r="F38" s="22"/>
      <c r="G38" s="22"/>
      <c r="H38" s="22"/>
      <c r="I38" s="26"/>
    </row>
    <row r="39" spans="1:9" ht="15" customHeight="1" thickBot="1">
      <c r="A39" s="317"/>
      <c r="B39" s="27"/>
      <c r="C39" s="27"/>
      <c r="D39" s="27"/>
      <c r="E39" s="27"/>
      <c r="F39" s="27"/>
      <c r="G39" s="27"/>
      <c r="H39" s="27"/>
      <c r="I39" s="28"/>
    </row>
    <row r="40" spans="1:9" ht="15" customHeight="1"/>
    <row r="41" spans="1:9" ht="15" customHeight="1"/>
    <row r="42" spans="1:9" ht="15" customHeight="1"/>
    <row r="43" spans="1:9" ht="15" customHeight="1"/>
    <row r="44" spans="1:9" ht="15" customHeight="1"/>
    <row r="45" spans="1:9" ht="15" customHeight="1"/>
    <row r="46" spans="1:9" ht="15" customHeight="1"/>
    <row r="47" spans="1:9" ht="15" customHeight="1"/>
    <row r="48" spans="1:9" ht="15" customHeight="1"/>
    <row r="49" spans="11:13" ht="15" customHeight="1"/>
    <row r="50" spans="11:13" ht="15" customHeight="1"/>
    <row r="51" spans="11:13" ht="15" customHeight="1"/>
    <row r="52" spans="11:13" ht="15" customHeight="1">
      <c r="K52"/>
      <c r="L52"/>
      <c r="M52"/>
    </row>
    <row r="53" spans="11:13" ht="15" customHeight="1">
      <c r="K53"/>
      <c r="L53"/>
      <c r="M53"/>
    </row>
    <row r="54" spans="11:13" ht="15" customHeight="1">
      <c r="K54"/>
      <c r="L54"/>
      <c r="M54"/>
    </row>
    <row r="55" spans="11:13" ht="15" customHeight="1">
      <c r="K55"/>
      <c r="L55"/>
      <c r="M55"/>
    </row>
    <row r="56" spans="11:13" ht="15" customHeight="1">
      <c r="K56"/>
      <c r="L56"/>
      <c r="M56"/>
    </row>
    <row r="57" spans="11:13" ht="15" customHeight="1">
      <c r="K57"/>
      <c r="L57"/>
      <c r="M57"/>
    </row>
    <row r="58" spans="11:13" ht="15" customHeight="1">
      <c r="K58"/>
      <c r="L58"/>
      <c r="M58"/>
    </row>
    <row r="59" spans="11:13" ht="15" customHeight="1">
      <c r="K59"/>
      <c r="L59"/>
      <c r="M59"/>
    </row>
    <row r="60" spans="11:13" ht="15" customHeight="1">
      <c r="K60"/>
      <c r="L60"/>
      <c r="M60"/>
    </row>
    <row r="61" spans="11:13" ht="15" customHeight="1">
      <c r="K61"/>
      <c r="L61"/>
      <c r="M61"/>
    </row>
    <row r="62" spans="11:13" ht="15" customHeight="1">
      <c r="K62"/>
      <c r="L62"/>
      <c r="M62"/>
    </row>
    <row r="63" spans="11:13" ht="15" customHeight="1">
      <c r="K63"/>
      <c r="L63"/>
      <c r="M63"/>
    </row>
    <row r="64" spans="11:13" ht="15" customHeight="1">
      <c r="K64"/>
      <c r="L64"/>
      <c r="M64"/>
    </row>
    <row r="65" spans="11:13" ht="15" customHeight="1">
      <c r="K65"/>
      <c r="L65"/>
      <c r="M65"/>
    </row>
    <row r="66" spans="11:13" ht="15" customHeight="1">
      <c r="K66"/>
      <c r="L66"/>
      <c r="M66"/>
    </row>
    <row r="67" spans="11:13" ht="15" customHeight="1">
      <c r="K67"/>
      <c r="L67"/>
      <c r="M67"/>
    </row>
    <row r="68" spans="11:13" ht="15" customHeight="1">
      <c r="K68"/>
      <c r="L68"/>
      <c r="M68"/>
    </row>
    <row r="69" spans="11:13" ht="15" customHeight="1">
      <c r="K69"/>
      <c r="L69"/>
      <c r="M69"/>
    </row>
    <row r="70" spans="11:13" ht="15" customHeight="1">
      <c r="K70"/>
      <c r="L70"/>
      <c r="M70"/>
    </row>
    <row r="71" spans="11:13" ht="15" customHeight="1">
      <c r="K71"/>
      <c r="L71"/>
      <c r="M71"/>
    </row>
    <row r="72" spans="11:13" ht="15" customHeight="1">
      <c r="K72"/>
      <c r="L72"/>
      <c r="M72"/>
    </row>
    <row r="73" spans="11:13" ht="15" customHeight="1">
      <c r="K73"/>
      <c r="L73"/>
      <c r="M73"/>
    </row>
    <row r="74" spans="11:13" ht="15" customHeight="1">
      <c r="K74"/>
      <c r="L74"/>
      <c r="M74"/>
    </row>
    <row r="75" spans="11:13" ht="15" customHeight="1">
      <c r="K75"/>
      <c r="L75"/>
      <c r="M75"/>
    </row>
    <row r="76" spans="11:13" ht="15" customHeight="1">
      <c r="K76"/>
      <c r="L76"/>
      <c r="M76"/>
    </row>
    <row r="77" spans="11:13" ht="15" customHeight="1">
      <c r="K77"/>
      <c r="L77"/>
      <c r="M77"/>
    </row>
    <row r="78" spans="11:13" ht="15" customHeight="1">
      <c r="K78"/>
      <c r="L78"/>
      <c r="M78"/>
    </row>
    <row r="79" spans="11:13" ht="15" customHeight="1">
      <c r="K79"/>
      <c r="L79"/>
      <c r="M79"/>
    </row>
    <row r="80" spans="11:13" ht="15" customHeight="1">
      <c r="K80"/>
      <c r="L80"/>
      <c r="M80"/>
    </row>
    <row r="81" spans="11:13" ht="15" customHeight="1">
      <c r="K81"/>
      <c r="L81"/>
      <c r="M81"/>
    </row>
    <row r="82" spans="11:13" ht="15" customHeight="1">
      <c r="K82"/>
      <c r="L82"/>
      <c r="M82"/>
    </row>
    <row r="83" spans="11:13" ht="15" customHeight="1">
      <c r="K83"/>
      <c r="L83"/>
      <c r="M83"/>
    </row>
    <row r="84" spans="11:13" ht="15" customHeight="1">
      <c r="K84"/>
      <c r="L84"/>
      <c r="M84"/>
    </row>
    <row r="85" spans="11:13" ht="15" customHeight="1">
      <c r="K85"/>
      <c r="L85"/>
      <c r="M85"/>
    </row>
    <row r="86" spans="11:13" ht="15" customHeight="1">
      <c r="K86"/>
      <c r="L86"/>
      <c r="M86"/>
    </row>
    <row r="87" spans="11:13" ht="15" customHeight="1">
      <c r="K87"/>
      <c r="L87"/>
      <c r="M87"/>
    </row>
    <row r="88" spans="11:13" ht="15" customHeight="1">
      <c r="K88"/>
      <c r="L88"/>
      <c r="M88"/>
    </row>
    <row r="89" spans="11:13" ht="15" customHeight="1">
      <c r="K89"/>
      <c r="L89"/>
      <c r="M89"/>
    </row>
    <row r="90" spans="11:13" ht="15" customHeight="1">
      <c r="K90"/>
      <c r="L90"/>
      <c r="M90"/>
    </row>
    <row r="91" spans="11:13" ht="15" customHeight="1">
      <c r="K91"/>
      <c r="L91"/>
      <c r="M91"/>
    </row>
    <row r="92" spans="11:13" ht="15" customHeight="1">
      <c r="K92"/>
      <c r="L92"/>
      <c r="M92"/>
    </row>
    <row r="93" spans="11:13" ht="15" customHeight="1">
      <c r="K93"/>
      <c r="L93"/>
      <c r="M93"/>
    </row>
    <row r="94" spans="11:13" ht="15" customHeight="1">
      <c r="K94"/>
      <c r="L94"/>
      <c r="M94"/>
    </row>
    <row r="95" spans="11:13" ht="15" customHeight="1">
      <c r="K95"/>
      <c r="L95"/>
      <c r="M95"/>
    </row>
    <row r="96" spans="11:13" ht="15" customHeight="1">
      <c r="K96"/>
      <c r="L96"/>
      <c r="M96"/>
    </row>
    <row r="97" spans="11:13" ht="15" customHeight="1">
      <c r="K97"/>
      <c r="L97"/>
      <c r="M97"/>
    </row>
    <row r="98" spans="11:13" ht="15" customHeight="1"/>
    <row r="99" spans="11:13" ht="15" customHeight="1"/>
    <row r="100" spans="11:13" ht="15" customHeight="1"/>
    <row r="101" spans="11:13" ht="15" customHeight="1"/>
    <row r="102" spans="11:13" ht="15" customHeight="1"/>
    <row r="103" spans="11:13" ht="15" customHeight="1"/>
    <row r="104" spans="11:13" ht="15" customHeight="1"/>
    <row r="105" spans="11:13" ht="15" customHeight="1"/>
    <row r="106" spans="11:13" ht="15" customHeight="1"/>
    <row r="107" spans="11:13" ht="15" customHeight="1"/>
    <row r="108" spans="11:13" ht="15" customHeight="1"/>
    <row r="109" spans="11:13" ht="15" customHeight="1"/>
    <row r="110" spans="11:13" ht="15" customHeight="1"/>
    <row r="111" spans="11:13" ht="15" customHeight="1"/>
    <row r="112" spans="11:13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</sheetData>
  <mergeCells count="1">
    <mergeCell ref="H1:I1"/>
  </mergeCells>
  <conditionalFormatting sqref="B1">
    <cfRule type="cellIs" dxfId="58" priority="1" operator="equal">
      <formula>"Incomplete"</formula>
    </cfRule>
    <cfRule type="cellIs" dxfId="57" priority="2" operator="equal">
      <formula>"Flag for Review"</formula>
    </cfRule>
    <cfRule type="cellIs" dxfId="56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10" width="10.7109375" style="24" customWidth="1"/>
    <col min="11" max="11" width="9.140625" style="24" customWidth="1"/>
    <col min="12" max="16384" width="9.140625" style="24"/>
  </cols>
  <sheetData>
    <row r="1" spans="1:29" ht="15" customHeight="1">
      <c r="A1" s="7">
        <v>14</v>
      </c>
      <c r="B1" s="32" t="s">
        <v>12</v>
      </c>
      <c r="C1" s="23"/>
      <c r="D1" s="23"/>
      <c r="E1" s="23"/>
      <c r="F1" s="23"/>
      <c r="G1" s="23"/>
      <c r="H1" s="23"/>
      <c r="I1" s="469" t="s">
        <v>30</v>
      </c>
      <c r="J1" s="471"/>
      <c r="L1" s="50" t="s">
        <v>316</v>
      </c>
      <c r="M1" s="50"/>
    </row>
    <row r="2" spans="1:29" ht="15" customHeight="1">
      <c r="A2" s="25"/>
      <c r="B2" s="22"/>
      <c r="C2" s="22"/>
      <c r="D2" s="22"/>
      <c r="E2" s="22"/>
      <c r="F2" s="22"/>
      <c r="G2" s="22"/>
      <c r="H2" s="22"/>
      <c r="I2" s="22"/>
      <c r="J2" s="26"/>
      <c r="L2" s="50"/>
      <c r="M2" s="50"/>
    </row>
    <row r="3" spans="1:29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L3" s="50"/>
      <c r="M3" s="50"/>
    </row>
    <row r="4" spans="1:29" ht="15" customHeight="1">
      <c r="A4" s="9">
        <f>INDEX('Point Grid'!B:B,MATCH($A$1,'Point Grid'!A:A,0))</f>
        <v>1.25</v>
      </c>
      <c r="B4" s="22"/>
      <c r="C4" s="22"/>
      <c r="D4" s="22"/>
      <c r="E4" s="22"/>
      <c r="F4" s="22"/>
      <c r="G4" s="22"/>
      <c r="H4" s="22"/>
      <c r="I4" s="22"/>
      <c r="J4" s="26"/>
      <c r="L4" s="299" t="s">
        <v>2</v>
      </c>
      <c r="M4" s="50" t="str">
        <f>"We must apply the following forumula for each AY for CY " &amp; C15 &amp; " and then SUM"</f>
        <v>We must apply the following forumula for each AY for CY 2024 and then SUM</v>
      </c>
      <c r="N4" s="50"/>
      <c r="O4" s="182"/>
      <c r="P4" s="50"/>
      <c r="Q4" s="50"/>
      <c r="R4" s="50"/>
      <c r="S4" s="243"/>
      <c r="T4" s="243"/>
      <c r="U4" s="243"/>
      <c r="V4" s="243"/>
      <c r="W4" s="243"/>
    </row>
    <row r="5" spans="1:29" ht="15" customHeight="1">
      <c r="A5" s="25"/>
      <c r="B5" s="22"/>
      <c r="C5" s="22"/>
      <c r="D5" s="22"/>
      <c r="E5" s="22"/>
      <c r="F5" s="22"/>
      <c r="G5" s="22"/>
      <c r="H5" s="22"/>
      <c r="I5" s="22"/>
      <c r="J5" s="26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</row>
    <row r="6" spans="1:29" ht="15" customHeight="1">
      <c r="A6" s="29" t="s">
        <v>2</v>
      </c>
      <c r="B6" s="22" t="s">
        <v>822</v>
      </c>
      <c r="C6" s="22"/>
      <c r="D6" s="22"/>
      <c r="E6" s="22"/>
      <c r="F6" s="22"/>
      <c r="G6" s="22"/>
      <c r="H6" s="22"/>
      <c r="I6" s="22"/>
      <c r="J6" s="26"/>
      <c r="L6" s="243"/>
      <c r="M6" s="50"/>
      <c r="N6" s="50" t="s">
        <v>826</v>
      </c>
      <c r="O6" s="50"/>
      <c r="P6" s="182" t="s">
        <v>521</v>
      </c>
      <c r="Q6" s="50" t="s">
        <v>827</v>
      </c>
      <c r="R6" s="50"/>
      <c r="S6" s="50"/>
      <c r="T6" s="50"/>
      <c r="U6" s="50"/>
      <c r="V6" s="50"/>
      <c r="W6" s="50"/>
    </row>
    <row r="7" spans="1:29" ht="15" customHeight="1" thickBot="1">
      <c r="A7" s="9">
        <f>INDEX('Point Grid'!$C$8:$I$40,MATCH($A$1,'Point Grid'!$A$8:$A$3400),MATCH(A6,'Point Grid'!$C$7:$I$7,0))</f>
        <v>1.25</v>
      </c>
      <c r="B7" s="22"/>
      <c r="C7" s="22"/>
      <c r="D7" s="22"/>
      <c r="E7" s="22"/>
      <c r="F7" s="22"/>
      <c r="G7" s="22"/>
      <c r="H7" s="22"/>
      <c r="I7" s="22"/>
      <c r="J7" s="26"/>
      <c r="L7" s="243"/>
      <c r="M7" s="50"/>
      <c r="N7" s="50"/>
      <c r="O7" s="182"/>
      <c r="P7" s="50"/>
      <c r="Q7" s="50"/>
      <c r="R7" s="50"/>
      <c r="S7" s="50"/>
      <c r="T7" s="50"/>
      <c r="U7" s="50"/>
      <c r="V7" s="50"/>
      <c r="W7" s="50"/>
      <c r="Z7" s="50"/>
      <c r="AA7" s="50"/>
      <c r="AB7" s="50"/>
      <c r="AC7" s="50"/>
    </row>
    <row r="8" spans="1:29" ht="15" customHeight="1" thickBot="1">
      <c r="A8" s="5"/>
      <c r="B8" s="22"/>
      <c r="C8" s="229" t="s">
        <v>823</v>
      </c>
      <c r="D8" s="229"/>
      <c r="E8" s="388">
        <v>0.05</v>
      </c>
      <c r="F8" s="229"/>
      <c r="G8" s="229"/>
      <c r="H8" s="229"/>
      <c r="I8" s="229"/>
      <c r="J8" s="26"/>
      <c r="L8" s="243"/>
      <c r="M8" s="50" t="s">
        <v>828</v>
      </c>
      <c r="N8" s="50"/>
      <c r="O8" s="50"/>
      <c r="P8" s="50"/>
      <c r="Q8" s="50"/>
      <c r="R8" s="50"/>
      <c r="S8" s="50"/>
      <c r="T8" s="50"/>
      <c r="U8" s="50"/>
      <c r="V8" s="50"/>
      <c r="W8" s="50"/>
      <c r="Z8" s="50"/>
      <c r="AA8" s="50"/>
      <c r="AB8" s="50"/>
      <c r="AC8" s="50"/>
    </row>
    <row r="9" spans="1:29" ht="15" customHeight="1">
      <c r="A9" s="31"/>
      <c r="B9" s="22"/>
      <c r="C9" s="292"/>
      <c r="D9" s="292"/>
      <c r="E9" s="292"/>
      <c r="F9" s="292"/>
      <c r="G9" s="292"/>
      <c r="H9" s="292"/>
      <c r="I9" s="292"/>
      <c r="J9" s="26"/>
      <c r="L9" s="243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Z9" s="50"/>
      <c r="AA9" s="50"/>
      <c r="AB9" s="50"/>
      <c r="AC9" s="50"/>
    </row>
    <row r="10" spans="1:29" ht="15" customHeight="1">
      <c r="A10" s="31"/>
      <c r="B10" s="22"/>
      <c r="C10" s="389"/>
      <c r="D10" s="390" t="s">
        <v>730</v>
      </c>
      <c r="E10" s="391" t="s">
        <v>730</v>
      </c>
      <c r="F10" s="391" t="s">
        <v>824</v>
      </c>
      <c r="G10" s="232"/>
      <c r="H10" s="229"/>
      <c r="I10" s="229"/>
      <c r="J10" s="26"/>
      <c r="L10" s="243"/>
      <c r="M10" s="397" t="s">
        <v>829</v>
      </c>
      <c r="N10" s="243"/>
      <c r="O10" s="243"/>
      <c r="P10" s="243"/>
      <c r="Q10" s="243"/>
      <c r="R10" s="244"/>
      <c r="S10" s="397" t="s">
        <v>830</v>
      </c>
      <c r="T10" s="243"/>
      <c r="U10" s="243"/>
      <c r="V10" s="243"/>
      <c r="W10" s="243"/>
      <c r="Z10" s="50"/>
      <c r="AA10" s="50"/>
      <c r="AB10" s="50"/>
      <c r="AC10" s="50"/>
    </row>
    <row r="11" spans="1:29" ht="15" customHeight="1">
      <c r="A11" s="31"/>
      <c r="B11" s="22"/>
      <c r="C11" s="392" t="s">
        <v>278</v>
      </c>
      <c r="D11" s="228" t="str">
        <f>"yr-end " &amp; RIGHT(C14,2)</f>
        <v>yr-end 23</v>
      </c>
      <c r="E11" s="227" t="str">
        <f>"yr-end " &amp; RIGHT(C15,2)</f>
        <v>yr-end 24</v>
      </c>
      <c r="F11" s="227" t="str">
        <f>"CY " &amp; C15</f>
        <v>CY 2024</v>
      </c>
      <c r="G11" s="232"/>
      <c r="H11" s="229"/>
      <c r="I11" s="229"/>
      <c r="J11" s="26"/>
      <c r="L11" s="243"/>
      <c r="M11" s="381" t="s">
        <v>831</v>
      </c>
      <c r="N11" s="398" t="str">
        <f>"CY " &amp; RIGHT(C12,2)</f>
        <v>CY 21</v>
      </c>
      <c r="O11" s="398" t="str">
        <f>"CY " &amp; RIGHT(C13,2)</f>
        <v>CY 22</v>
      </c>
      <c r="P11" s="398" t="str">
        <f>"CY " &amp; RIGHT(C14,2)</f>
        <v>CY 23</v>
      </c>
      <c r="Q11" s="399" t="str">
        <f>"CY " &amp; RIGHT(C15,2)</f>
        <v>CY 24</v>
      </c>
      <c r="R11" s="243"/>
      <c r="S11" s="381" t="s">
        <v>831</v>
      </c>
      <c r="T11" s="398" t="str">
        <f>N11</f>
        <v>CY 21</v>
      </c>
      <c r="U11" s="398" t="str">
        <f t="shared" ref="U11:W11" si="0">O11</f>
        <v>CY 22</v>
      </c>
      <c r="V11" s="398" t="str">
        <f t="shared" si="0"/>
        <v>CY 23</v>
      </c>
      <c r="W11" s="399" t="str">
        <f t="shared" si="0"/>
        <v>CY 24</v>
      </c>
      <c r="Z11" s="50"/>
      <c r="AA11" s="50"/>
      <c r="AB11" s="50"/>
      <c r="AC11" s="50"/>
    </row>
    <row r="12" spans="1:29" ht="15" customHeight="1">
      <c r="A12" s="31"/>
      <c r="B12" s="22"/>
      <c r="C12" s="393">
        <v>2021</v>
      </c>
      <c r="D12" s="256">
        <v>18600</v>
      </c>
      <c r="E12" s="343">
        <v>13000</v>
      </c>
      <c r="F12" s="343">
        <v>2712</v>
      </c>
      <c r="G12" s="256"/>
      <c r="H12" s="229"/>
      <c r="I12" s="229"/>
      <c r="J12" s="26"/>
      <c r="L12" s="243"/>
      <c r="M12" s="386">
        <f>C12</f>
        <v>2021</v>
      </c>
      <c r="N12" s="400">
        <v>0</v>
      </c>
      <c r="O12" s="400">
        <v>0</v>
      </c>
      <c r="P12" s="400">
        <v>0</v>
      </c>
      <c r="Q12" s="401">
        <f>F12</f>
        <v>2712</v>
      </c>
      <c r="R12" s="243"/>
      <c r="S12" s="386">
        <f>M12</f>
        <v>2021</v>
      </c>
      <c r="T12" s="400">
        <v>0</v>
      </c>
      <c r="U12" s="400">
        <v>0</v>
      </c>
      <c r="V12" s="400">
        <f t="shared" ref="V12:W14" si="1">D12</f>
        <v>18600</v>
      </c>
      <c r="W12" s="401">
        <f t="shared" si="1"/>
        <v>13000</v>
      </c>
      <c r="Z12" s="50"/>
      <c r="AA12" s="50"/>
      <c r="AB12" s="50"/>
      <c r="AC12" s="50"/>
    </row>
    <row r="13" spans="1:29" ht="15" customHeight="1">
      <c r="A13" s="31"/>
      <c r="B13" s="22"/>
      <c r="C13" s="393">
        <f>C12+1</f>
        <v>2022</v>
      </c>
      <c r="D13" s="256">
        <v>25920</v>
      </c>
      <c r="E13" s="343">
        <v>22078</v>
      </c>
      <c r="F13" s="343">
        <v>4816.5</v>
      </c>
      <c r="G13" s="256"/>
      <c r="H13" s="229"/>
      <c r="I13" s="229"/>
      <c r="J13" s="26"/>
      <c r="L13" s="243"/>
      <c r="M13" s="386">
        <f>M12+1</f>
        <v>2022</v>
      </c>
      <c r="N13" s="400"/>
      <c r="O13" s="400">
        <v>0</v>
      </c>
      <c r="P13" s="400">
        <v>0</v>
      </c>
      <c r="Q13" s="401">
        <f>F13</f>
        <v>4816.5</v>
      </c>
      <c r="R13" s="243"/>
      <c r="S13" s="386">
        <f t="shared" ref="S13:S15" si="2">M13</f>
        <v>2022</v>
      </c>
      <c r="T13" s="400"/>
      <c r="U13" s="400">
        <v>0</v>
      </c>
      <c r="V13" s="400">
        <f t="shared" si="1"/>
        <v>25920</v>
      </c>
      <c r="W13" s="401">
        <f t="shared" si="1"/>
        <v>22078</v>
      </c>
      <c r="Z13" s="50"/>
      <c r="AA13" s="50"/>
      <c r="AB13" s="50"/>
      <c r="AC13" s="50"/>
    </row>
    <row r="14" spans="1:29" ht="15" customHeight="1">
      <c r="A14" s="31"/>
      <c r="B14" s="22"/>
      <c r="C14" s="393">
        <f>C13+1</f>
        <v>2023</v>
      </c>
      <c r="D14" s="256">
        <v>35800</v>
      </c>
      <c r="E14" s="343">
        <v>17440</v>
      </c>
      <c r="F14" s="343">
        <v>8520</v>
      </c>
      <c r="G14" s="256"/>
      <c r="H14" s="229"/>
      <c r="I14" s="229"/>
      <c r="J14" s="26"/>
      <c r="L14" s="243"/>
      <c r="M14" s="386">
        <f t="shared" ref="M14:M15" si="3">M13+1</f>
        <v>2023</v>
      </c>
      <c r="N14" s="400"/>
      <c r="O14" s="400"/>
      <c r="P14" s="400">
        <v>0</v>
      </c>
      <c r="Q14" s="401">
        <f>F14</f>
        <v>8520</v>
      </c>
      <c r="R14" s="243"/>
      <c r="S14" s="386">
        <f t="shared" si="2"/>
        <v>2023</v>
      </c>
      <c r="T14" s="400"/>
      <c r="U14" s="400"/>
      <c r="V14" s="400">
        <f t="shared" si="1"/>
        <v>35800</v>
      </c>
      <c r="W14" s="401">
        <f t="shared" si="1"/>
        <v>17440</v>
      </c>
      <c r="Z14" s="50"/>
      <c r="AA14" s="50"/>
      <c r="AB14" s="50"/>
      <c r="AC14" s="50"/>
    </row>
    <row r="15" spans="1:29" ht="15" customHeight="1">
      <c r="A15" s="31"/>
      <c r="B15" s="22"/>
      <c r="C15" s="394">
        <f>C14+1</f>
        <v>2024</v>
      </c>
      <c r="D15" s="240">
        <v>0</v>
      </c>
      <c r="E15" s="355">
        <v>34185</v>
      </c>
      <c r="F15" s="355">
        <v>39300</v>
      </c>
      <c r="G15" s="256"/>
      <c r="H15" s="229"/>
      <c r="I15" s="229"/>
      <c r="J15" s="26"/>
      <c r="L15" s="243"/>
      <c r="M15" s="387">
        <f t="shared" si="3"/>
        <v>2024</v>
      </c>
      <c r="N15" s="384"/>
      <c r="O15" s="384"/>
      <c r="P15" s="384"/>
      <c r="Q15" s="385">
        <f>F15</f>
        <v>39300</v>
      </c>
      <c r="R15" s="243"/>
      <c r="S15" s="387">
        <f t="shared" si="2"/>
        <v>2024</v>
      </c>
      <c r="T15" s="384"/>
      <c r="U15" s="384"/>
      <c r="V15" s="384"/>
      <c r="W15" s="385">
        <f>E15</f>
        <v>34185</v>
      </c>
      <c r="Z15" s="50"/>
      <c r="AA15" s="50"/>
      <c r="AB15" s="50"/>
      <c r="AC15" s="50"/>
    </row>
    <row r="16" spans="1:29" ht="15" customHeight="1">
      <c r="A16" s="31"/>
      <c r="B16" s="22"/>
      <c r="C16" s="229"/>
      <c r="D16" s="229"/>
      <c r="E16" s="229"/>
      <c r="F16" s="229"/>
      <c r="G16" s="229"/>
      <c r="H16" s="229"/>
      <c r="I16" s="229"/>
      <c r="J16" s="26"/>
      <c r="L16" s="243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Z16" s="50"/>
      <c r="AA16" s="50"/>
      <c r="AB16" s="50"/>
      <c r="AC16" s="50"/>
    </row>
    <row r="17" spans="1:29" ht="15" customHeight="1">
      <c r="A17" s="31"/>
      <c r="B17" s="22"/>
      <c r="C17" s="229"/>
      <c r="D17" s="229"/>
      <c r="E17" s="229"/>
      <c r="F17" s="229"/>
      <c r="G17" s="229"/>
      <c r="H17" s="229"/>
      <c r="I17" s="229"/>
      <c r="J17" s="26"/>
      <c r="L17" s="243"/>
      <c r="M17" s="402" t="str">
        <f>"Let's calculate excess amount for AY " &amp; C12 &amp; " in detail, then the other AYs are similar:"</f>
        <v>Let's calculate excess amount for AY 2021 in detail, then the other AYs are similar:</v>
      </c>
      <c r="N17" s="50"/>
      <c r="O17" s="50"/>
      <c r="P17" s="50"/>
      <c r="Q17" s="50"/>
      <c r="R17" s="50"/>
      <c r="S17" s="50"/>
      <c r="T17" s="50"/>
      <c r="U17" s="50"/>
      <c r="V17" s="50"/>
      <c r="W17" s="50"/>
      <c r="Z17" s="50"/>
      <c r="AA17" s="50"/>
      <c r="AB17" s="50"/>
      <c r="AC17" s="50"/>
    </row>
    <row r="18" spans="1:29" ht="15" customHeight="1">
      <c r="A18" s="31"/>
      <c r="B18" s="22"/>
      <c r="C18" s="229"/>
      <c r="D18" s="229"/>
      <c r="E18" s="229"/>
      <c r="F18" s="229"/>
      <c r="G18" s="229"/>
      <c r="H18" s="229"/>
      <c r="I18" s="229"/>
      <c r="J18" s="26"/>
      <c r="L18" s="243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Z18" s="50"/>
      <c r="AA18" s="50"/>
      <c r="AB18" s="50"/>
      <c r="AC18" s="50"/>
    </row>
    <row r="19" spans="1:29" ht="15" customHeight="1">
      <c r="A19" s="25"/>
      <c r="B19" s="22"/>
      <c r="C19" s="229"/>
      <c r="D19" s="229"/>
      <c r="E19" s="229"/>
      <c r="F19" s="229"/>
      <c r="G19" s="229"/>
      <c r="H19" s="229"/>
      <c r="I19" s="229"/>
      <c r="J19" s="26"/>
      <c r="L19" s="243"/>
      <c r="M19" s="50"/>
      <c r="N19" s="402"/>
      <c r="O19" s="403" t="str">
        <f>"excess amount for AY " &amp; C12</f>
        <v>excess amount for AY 2021</v>
      </c>
      <c r="P19" s="182" t="s">
        <v>521</v>
      </c>
      <c r="Q19" s="299">
        <f>V12</f>
        <v>18600</v>
      </c>
      <c r="R19" s="182" t="s">
        <v>529</v>
      </c>
      <c r="S19" s="299">
        <f>W12</f>
        <v>13000</v>
      </c>
      <c r="T19" s="182" t="s">
        <v>529</v>
      </c>
      <c r="U19" s="299">
        <f>Q12</f>
        <v>2712</v>
      </c>
      <c r="V19" s="182" t="s">
        <v>524</v>
      </c>
      <c r="W19" s="396" t="s">
        <v>832</v>
      </c>
      <c r="Z19" s="50"/>
      <c r="AA19" s="50"/>
      <c r="AB19" s="50"/>
      <c r="AC19" s="50"/>
    </row>
    <row r="20" spans="1:29" ht="15" customHeight="1" thickBot="1">
      <c r="A20" s="27"/>
      <c r="B20" s="27"/>
      <c r="C20" s="27"/>
      <c r="D20" s="27"/>
      <c r="E20" s="27"/>
      <c r="F20" s="27"/>
      <c r="G20" s="27"/>
      <c r="H20" s="27"/>
      <c r="I20" s="27"/>
      <c r="J20" s="28"/>
      <c r="L20" s="243"/>
      <c r="M20" s="50"/>
      <c r="N20" s="50"/>
      <c r="O20" s="50"/>
      <c r="P20" s="182" t="s">
        <v>521</v>
      </c>
      <c r="Q20" s="299">
        <f>Q19</f>
        <v>18600</v>
      </c>
      <c r="R20" s="182" t="s">
        <v>529</v>
      </c>
      <c r="S20" s="299">
        <f>S19</f>
        <v>13000</v>
      </c>
      <c r="T20" s="182" t="s">
        <v>529</v>
      </c>
      <c r="U20" s="299">
        <f>U19</f>
        <v>2712</v>
      </c>
      <c r="V20" s="182" t="s">
        <v>524</v>
      </c>
      <c r="W20" s="404">
        <f>Q24</f>
        <v>790</v>
      </c>
      <c r="Z20" s="50"/>
      <c r="AA20" s="50"/>
      <c r="AB20" s="50"/>
      <c r="AC20" s="50"/>
    </row>
    <row r="21" spans="1:29" ht="15" customHeight="1">
      <c r="A21"/>
      <c r="B21"/>
      <c r="C21"/>
      <c r="D21"/>
      <c r="E21"/>
      <c r="F21"/>
      <c r="G21"/>
      <c r="H21"/>
      <c r="I21"/>
      <c r="J21"/>
      <c r="L21" s="243"/>
      <c r="M21" s="243"/>
      <c r="N21" s="243"/>
      <c r="O21" s="243"/>
      <c r="P21" s="182" t="s">
        <v>521</v>
      </c>
      <c r="Q21" s="405">
        <f>Q20-S20-U20+W20</f>
        <v>3678</v>
      </c>
      <c r="R21" s="243"/>
      <c r="S21" s="243"/>
      <c r="T21" s="243"/>
      <c r="U21" s="243"/>
      <c r="V21" s="243"/>
      <c r="W21" s="243"/>
      <c r="Z21" s="50"/>
      <c r="AA21" s="50"/>
      <c r="AB21" s="50"/>
      <c r="AC21" s="50"/>
    </row>
    <row r="22" spans="1:29" ht="15" customHeight="1">
      <c r="A22"/>
      <c r="B22"/>
      <c r="C22"/>
      <c r="D22"/>
      <c r="E22"/>
      <c r="F22"/>
      <c r="G22"/>
      <c r="H22"/>
      <c r="I22"/>
      <c r="J22"/>
      <c r="L22" s="243"/>
      <c r="M22" s="244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Z22" s="50"/>
      <c r="AA22" s="50"/>
      <c r="AB22" s="50"/>
      <c r="AC22" s="50"/>
    </row>
    <row r="23" spans="1:29" ht="15" customHeight="1">
      <c r="A23"/>
      <c r="B23"/>
      <c r="C23"/>
      <c r="D23"/>
      <c r="E23"/>
      <c r="F23"/>
      <c r="G23"/>
      <c r="H23"/>
      <c r="I23"/>
      <c r="J23"/>
      <c r="L23" s="243"/>
      <c r="M23" s="243"/>
      <c r="N23" s="362"/>
      <c r="O23" s="403" t="str">
        <f>"investment income for CY" &amp;  C12 &amp; " (ii)"</f>
        <v>investment income for CY2021 (ii)</v>
      </c>
      <c r="P23" s="182" t="s">
        <v>521</v>
      </c>
      <c r="Q23" s="350">
        <f>E8</f>
        <v>0.05</v>
      </c>
      <c r="R23" s="299" t="s">
        <v>562</v>
      </c>
      <c r="S23" s="243" t="s">
        <v>825</v>
      </c>
      <c r="T23" s="299">
        <f>V12</f>
        <v>18600</v>
      </c>
      <c r="U23" s="299" t="s">
        <v>540</v>
      </c>
      <c r="V23" s="299">
        <f>W12</f>
        <v>13000</v>
      </c>
      <c r="W23" s="243" t="s">
        <v>527</v>
      </c>
      <c r="Z23" s="50"/>
      <c r="AA23" s="50"/>
      <c r="AB23" s="50"/>
      <c r="AC23" s="50"/>
    </row>
    <row r="24" spans="1:29" ht="15" customHeight="1">
      <c r="A24"/>
      <c r="B24"/>
      <c r="C24"/>
      <c r="D24"/>
      <c r="E24"/>
      <c r="F24"/>
      <c r="G24"/>
      <c r="H24"/>
      <c r="I24"/>
      <c r="J24"/>
      <c r="L24" s="243"/>
      <c r="M24" s="243"/>
      <c r="N24" s="243"/>
      <c r="O24" s="243"/>
      <c r="P24" s="182" t="s">
        <v>521</v>
      </c>
      <c r="Q24" s="404">
        <f>Q23*AVERAGE(V12,W12)</f>
        <v>790</v>
      </c>
      <c r="R24" s="243"/>
      <c r="S24" s="243"/>
      <c r="T24" s="243"/>
      <c r="U24" s="243"/>
      <c r="V24" s="243"/>
      <c r="W24" s="243"/>
      <c r="Z24" s="50"/>
      <c r="AA24" s="50"/>
      <c r="AB24" s="50"/>
      <c r="AC24" s="50"/>
    </row>
    <row r="25" spans="1:29" ht="15" customHeight="1">
      <c r="A25"/>
      <c r="B25"/>
      <c r="C25"/>
      <c r="D25"/>
      <c r="E25"/>
      <c r="F25"/>
      <c r="G25"/>
      <c r="H25"/>
      <c r="I25"/>
      <c r="J25"/>
      <c r="L25" s="243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Z25" s="50"/>
      <c r="AA25" s="50"/>
      <c r="AB25" s="50"/>
      <c r="AC25" s="50"/>
    </row>
    <row r="26" spans="1:29" ht="15" customHeight="1">
      <c r="A26"/>
      <c r="B26"/>
      <c r="C26"/>
      <c r="D26"/>
      <c r="E26"/>
      <c r="F26"/>
      <c r="G26"/>
      <c r="H26"/>
      <c r="I26"/>
      <c r="J26"/>
      <c r="L26" s="243" t="s">
        <v>835</v>
      </c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Z26" s="50"/>
      <c r="AA26" s="50"/>
      <c r="AB26" s="50"/>
      <c r="AC26" s="50"/>
    </row>
    <row r="27" spans="1:29" ht="15" customHeight="1">
      <c r="A27"/>
      <c r="B27"/>
      <c r="C27"/>
      <c r="D27"/>
      <c r="E27"/>
      <c r="F27"/>
      <c r="G27"/>
      <c r="H27"/>
      <c r="I27"/>
      <c r="J27"/>
      <c r="L27" s="402" t="str">
        <f>"(excess amt) AY "&amp;RIGHT(C13,2)</f>
        <v>(excess amt) AY 22</v>
      </c>
      <c r="M27" s="243"/>
      <c r="N27" s="182" t="s">
        <v>521</v>
      </c>
      <c r="O27" s="299">
        <f>V13</f>
        <v>25920</v>
      </c>
      <c r="P27" s="182" t="s">
        <v>529</v>
      </c>
      <c r="Q27" s="299">
        <f>W13</f>
        <v>22078</v>
      </c>
      <c r="R27" s="182" t="s">
        <v>529</v>
      </c>
      <c r="S27" s="299">
        <f>Q13</f>
        <v>4816.5</v>
      </c>
      <c r="T27" s="182" t="s">
        <v>524</v>
      </c>
      <c r="U27" s="299">
        <f>E8*AVERAGE(V13,W13)</f>
        <v>1199.95</v>
      </c>
      <c r="V27" s="182" t="s">
        <v>521</v>
      </c>
      <c r="W27" s="405">
        <f>O27-Q27-S27+U27</f>
        <v>225.45000000000005</v>
      </c>
      <c r="Z27" s="50"/>
      <c r="AA27" s="50"/>
      <c r="AB27" s="50"/>
      <c r="AC27" s="50"/>
    </row>
    <row r="28" spans="1:29" ht="15" customHeight="1">
      <c r="A28"/>
      <c r="B28"/>
      <c r="C28"/>
      <c r="D28"/>
      <c r="E28"/>
      <c r="F28"/>
      <c r="G28"/>
      <c r="H28"/>
      <c r="I28"/>
      <c r="J28"/>
      <c r="L28" s="402" t="str">
        <f>"(excess amt) AY "&amp;RIGHT(C14,2)</f>
        <v>(excess amt) AY 23</v>
      </c>
      <c r="M28" s="243"/>
      <c r="N28" s="182" t="s">
        <v>521</v>
      </c>
      <c r="O28" s="299">
        <f>V14</f>
        <v>35800</v>
      </c>
      <c r="P28" s="182" t="s">
        <v>529</v>
      </c>
      <c r="Q28" s="299">
        <f>W14</f>
        <v>17440</v>
      </c>
      <c r="R28" s="182" t="s">
        <v>529</v>
      </c>
      <c r="S28" s="299">
        <f>Q14</f>
        <v>8520</v>
      </c>
      <c r="T28" s="182" t="s">
        <v>524</v>
      </c>
      <c r="U28" s="299">
        <f>E8*AVERAGE(V14,W14)</f>
        <v>1331</v>
      </c>
      <c r="V28" s="182" t="s">
        <v>521</v>
      </c>
      <c r="W28" s="405">
        <f>O28-Q28-S28+U28</f>
        <v>11171</v>
      </c>
      <c r="Z28" s="50"/>
      <c r="AA28" s="50"/>
      <c r="AB28" s="50"/>
      <c r="AC28" s="50"/>
    </row>
    <row r="29" spans="1:29" ht="15" customHeight="1">
      <c r="A29"/>
      <c r="B29"/>
      <c r="C29"/>
      <c r="D29"/>
      <c r="E29"/>
      <c r="F29"/>
      <c r="G29"/>
      <c r="H29"/>
      <c r="I29"/>
      <c r="J29"/>
      <c r="L29" s="402" t="str">
        <f>"(excess amt) AY "&amp;RIGHT(C15,2)</f>
        <v>(excess amt) AY 24</v>
      </c>
      <c r="M29" s="243"/>
      <c r="N29" s="182" t="s">
        <v>521</v>
      </c>
      <c r="O29" s="406" t="s">
        <v>833</v>
      </c>
      <c r="P29" s="406"/>
      <c r="Q29" s="299"/>
      <c r="R29" s="182"/>
      <c r="S29" s="299"/>
      <c r="T29" s="182"/>
      <c r="U29" s="299"/>
      <c r="V29" s="182"/>
      <c r="W29" s="407">
        <v>0</v>
      </c>
      <c r="Z29" s="50"/>
      <c r="AA29" s="50"/>
      <c r="AB29" s="50"/>
      <c r="AC29" s="50"/>
    </row>
    <row r="30" spans="1:29" ht="15" customHeight="1">
      <c r="A30"/>
      <c r="B30"/>
      <c r="C30"/>
      <c r="D30"/>
      <c r="E30"/>
      <c r="F30"/>
      <c r="G30"/>
      <c r="H30"/>
      <c r="I30"/>
      <c r="J30"/>
      <c r="L30" s="358"/>
      <c r="M30" s="358"/>
      <c r="N30" s="358"/>
      <c r="O30" s="358"/>
      <c r="P30" s="358"/>
      <c r="Q30" s="358"/>
      <c r="R30" s="358"/>
      <c r="S30" s="408" t="s">
        <v>836</v>
      </c>
      <c r="T30" s="409"/>
      <c r="U30" s="410"/>
      <c r="V30" s="411" t="s">
        <v>834</v>
      </c>
      <c r="W30" s="412">
        <f>Q21+SUM(W27:W29)</f>
        <v>15074.45</v>
      </c>
      <c r="Z30" s="50"/>
      <c r="AA30" s="50"/>
      <c r="AB30" s="50"/>
      <c r="AC30" s="50"/>
    </row>
    <row r="31" spans="1:29" ht="15" customHeight="1">
      <c r="A31"/>
      <c r="B31"/>
      <c r="C31"/>
      <c r="D31"/>
      <c r="E31"/>
      <c r="F31"/>
      <c r="G31"/>
      <c r="H31"/>
      <c r="I31"/>
      <c r="J31"/>
      <c r="L31" s="299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</row>
    <row r="32" spans="1:29" ht="15" customHeight="1">
      <c r="A32"/>
      <c r="B32"/>
      <c r="C32"/>
      <c r="D32"/>
      <c r="E32"/>
      <c r="F32"/>
      <c r="G32"/>
      <c r="H32"/>
      <c r="I32"/>
      <c r="J32"/>
      <c r="K32" s="243"/>
      <c r="L32" s="299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</row>
    <row r="33" spans="1:29" ht="15" customHeight="1">
      <c r="A33"/>
      <c r="B33"/>
      <c r="C33"/>
      <c r="D33"/>
      <c r="E33"/>
      <c r="F33"/>
      <c r="G33"/>
      <c r="H33"/>
      <c r="I33"/>
      <c r="J33"/>
      <c r="K33" s="243"/>
      <c r="L33" s="299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</row>
    <row r="34" spans="1:29" ht="15" customHeight="1">
      <c r="A34"/>
      <c r="B34"/>
      <c r="C34"/>
      <c r="D34"/>
      <c r="E34"/>
      <c r="F34"/>
      <c r="G34"/>
      <c r="H34"/>
      <c r="I34"/>
      <c r="J34"/>
      <c r="K34" s="243"/>
      <c r="L34" s="299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</row>
    <row r="35" spans="1:29" ht="15" customHeight="1">
      <c r="A35"/>
      <c r="B35"/>
      <c r="C35"/>
      <c r="D35"/>
      <c r="E35"/>
      <c r="F35"/>
      <c r="G35"/>
      <c r="H35"/>
      <c r="I35"/>
      <c r="J35"/>
      <c r="K35" s="243"/>
      <c r="L35" s="299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</row>
    <row r="36" spans="1:29" ht="15" customHeight="1">
      <c r="A36"/>
      <c r="B36"/>
      <c r="C36"/>
      <c r="D36"/>
      <c r="E36"/>
      <c r="F36"/>
      <c r="G36"/>
      <c r="H36"/>
      <c r="I36"/>
      <c r="J36"/>
      <c r="K36" s="243"/>
      <c r="L36" s="299"/>
    </row>
    <row r="37" spans="1:29" ht="15" customHeight="1">
      <c r="A37"/>
      <c r="B37"/>
      <c r="C37"/>
      <c r="D37"/>
      <c r="E37"/>
      <c r="F37"/>
      <c r="G37"/>
      <c r="H37"/>
      <c r="I37"/>
      <c r="J37"/>
      <c r="K37" s="243"/>
      <c r="L37" s="299"/>
    </row>
    <row r="38" spans="1:29" ht="15" customHeight="1">
      <c r="A38"/>
      <c r="B38"/>
      <c r="C38"/>
      <c r="D38"/>
      <c r="E38"/>
      <c r="F38"/>
      <c r="G38"/>
      <c r="H38"/>
      <c r="I38"/>
      <c r="J38"/>
      <c r="K38" s="243"/>
      <c r="L38" s="299"/>
    </row>
    <row r="39" spans="1:29" ht="15" customHeight="1">
      <c r="A39"/>
      <c r="B39"/>
      <c r="C39"/>
      <c r="D39"/>
      <c r="E39"/>
      <c r="F39"/>
      <c r="G39"/>
      <c r="H39"/>
      <c r="I39"/>
      <c r="J39"/>
      <c r="K39" s="243"/>
      <c r="L39" s="299"/>
    </row>
    <row r="40" spans="1:29" ht="15" customHeight="1">
      <c r="A40"/>
      <c r="B40"/>
      <c r="C40"/>
      <c r="D40"/>
      <c r="E40"/>
      <c r="F40"/>
      <c r="G40"/>
      <c r="H40"/>
      <c r="I40"/>
      <c r="J40"/>
      <c r="K40" s="243"/>
      <c r="L40" s="299"/>
    </row>
    <row r="41" spans="1:29" ht="15" customHeight="1">
      <c r="A41"/>
      <c r="B41"/>
      <c r="C41"/>
      <c r="D41"/>
      <c r="E41"/>
      <c r="F41"/>
      <c r="G41"/>
      <c r="H41"/>
      <c r="I41"/>
      <c r="J41"/>
      <c r="K41" s="243"/>
      <c r="L41" s="299"/>
    </row>
    <row r="42" spans="1:29" ht="15" customHeight="1">
      <c r="A42"/>
      <c r="B42"/>
      <c r="C42"/>
      <c r="D42"/>
      <c r="E42"/>
      <c r="F42"/>
      <c r="G42"/>
      <c r="H42"/>
      <c r="I42"/>
      <c r="J42"/>
      <c r="K42" s="243"/>
      <c r="L42" s="299"/>
    </row>
    <row r="43" spans="1:29" ht="15" customHeight="1">
      <c r="A43"/>
      <c r="B43"/>
      <c r="C43"/>
      <c r="D43"/>
      <c r="E43"/>
      <c r="F43"/>
      <c r="G43"/>
      <c r="H43"/>
      <c r="I43"/>
      <c r="J43"/>
      <c r="K43" s="50"/>
      <c r="L43" s="299"/>
    </row>
    <row r="44" spans="1:29" ht="15" customHeight="1">
      <c r="A44"/>
      <c r="B44"/>
      <c r="C44"/>
      <c r="D44"/>
      <c r="E44"/>
      <c r="F44"/>
      <c r="G44"/>
      <c r="H44"/>
      <c r="I44"/>
      <c r="J44"/>
      <c r="K44" s="50"/>
      <c r="L44" s="299"/>
    </row>
    <row r="45" spans="1:29" ht="15" customHeight="1">
      <c r="A45"/>
      <c r="B45"/>
      <c r="C45"/>
      <c r="D45"/>
      <c r="E45"/>
      <c r="F45"/>
      <c r="G45"/>
      <c r="H45"/>
      <c r="I45"/>
      <c r="J45"/>
      <c r="K45" s="50"/>
      <c r="L45" s="299"/>
    </row>
    <row r="46" spans="1:29" ht="15" customHeight="1">
      <c r="C46" s="50"/>
      <c r="D46" s="50"/>
      <c r="E46" s="50"/>
      <c r="F46" s="50"/>
      <c r="G46" s="50"/>
      <c r="H46" s="50"/>
      <c r="I46" s="50"/>
      <c r="J46" s="50"/>
      <c r="K46" s="50"/>
      <c r="L46" s="299"/>
    </row>
    <row r="47" spans="1:29" ht="15" customHeight="1">
      <c r="C47" s="50"/>
      <c r="D47" s="50"/>
      <c r="E47" s="50"/>
      <c r="F47" s="50"/>
      <c r="G47" s="50"/>
      <c r="H47" s="50"/>
      <c r="I47" s="50"/>
      <c r="J47" s="50"/>
      <c r="K47" s="50"/>
      <c r="L47" s="299"/>
    </row>
    <row r="48" spans="1:29" ht="15" customHeight="1">
      <c r="C48" s="50"/>
      <c r="D48" s="50"/>
      <c r="E48" s="50"/>
      <c r="F48" s="50"/>
      <c r="G48" s="50"/>
      <c r="H48" s="50"/>
      <c r="I48" s="50"/>
      <c r="J48" s="50"/>
      <c r="K48" s="50"/>
      <c r="L48" s="299"/>
    </row>
    <row r="49" spans="3:13" ht="15" customHeight="1">
      <c r="C49" s="50"/>
      <c r="D49" s="50"/>
      <c r="E49" s="50"/>
      <c r="F49" s="50"/>
      <c r="G49" s="50"/>
      <c r="H49" s="50"/>
      <c r="I49" s="50"/>
      <c r="J49" s="50"/>
      <c r="K49" s="50"/>
      <c r="L49" s="299"/>
    </row>
    <row r="50" spans="3:13" ht="15" customHeight="1">
      <c r="C50" s="50"/>
      <c r="D50" s="50"/>
      <c r="E50" s="50"/>
      <c r="F50" s="50"/>
      <c r="G50" s="50"/>
      <c r="H50" s="50"/>
      <c r="I50" s="50"/>
      <c r="J50" s="50"/>
      <c r="K50" s="50"/>
      <c r="L50" s="299"/>
    </row>
    <row r="51" spans="3:13" ht="15" customHeight="1">
      <c r="C51" s="50"/>
      <c r="D51" s="50"/>
      <c r="E51" s="50"/>
      <c r="F51" s="50"/>
      <c r="G51" s="50"/>
      <c r="H51" s="50"/>
      <c r="I51" s="50"/>
      <c r="J51" s="50"/>
      <c r="K51" s="50"/>
      <c r="L51" s="299"/>
    </row>
    <row r="52" spans="3:13" ht="15" customHeight="1">
      <c r="C52" s="50"/>
      <c r="D52" s="50"/>
      <c r="E52" s="50"/>
      <c r="F52" s="50"/>
      <c r="G52" s="50"/>
      <c r="H52" s="50"/>
      <c r="I52" s="50"/>
      <c r="J52" s="50"/>
      <c r="K52" s="50"/>
      <c r="L52" s="299"/>
    </row>
    <row r="53" spans="3:13" ht="15" customHeight="1">
      <c r="C53" s="50"/>
      <c r="D53" s="50"/>
      <c r="E53" s="50"/>
      <c r="F53" s="50"/>
      <c r="G53" s="50"/>
      <c r="H53" s="50"/>
      <c r="I53" s="50"/>
      <c r="J53" s="50"/>
      <c r="K53" s="50"/>
      <c r="L53" s="299"/>
    </row>
    <row r="54" spans="3:13" ht="15" customHeight="1">
      <c r="C54" s="50"/>
      <c r="D54" s="50"/>
      <c r="E54" s="50"/>
      <c r="F54" s="50"/>
      <c r="G54" s="50"/>
      <c r="H54" s="50"/>
      <c r="I54" s="50"/>
      <c r="J54" s="50"/>
      <c r="K54" s="50"/>
      <c r="L54" s="299"/>
    </row>
    <row r="55" spans="3:13" ht="15" customHeight="1">
      <c r="C55" s="50"/>
      <c r="D55" s="50"/>
      <c r="E55" s="50"/>
      <c r="F55" s="50"/>
      <c r="G55" s="50"/>
      <c r="H55" s="50"/>
      <c r="I55" s="50"/>
      <c r="J55" s="50"/>
      <c r="K55" s="50"/>
      <c r="L55" s="299"/>
    </row>
    <row r="56" spans="3:13" ht="15" customHeight="1">
      <c r="C56" s="50"/>
      <c r="D56" s="50"/>
      <c r="E56" s="50"/>
      <c r="F56" s="50"/>
      <c r="G56" s="50"/>
      <c r="H56" s="50"/>
      <c r="I56" s="50"/>
      <c r="J56" s="50"/>
      <c r="K56" s="50"/>
      <c r="L56" s="299"/>
    </row>
    <row r="57" spans="3:13" ht="15" customHeight="1">
      <c r="C57" s="50"/>
      <c r="D57" s="50"/>
      <c r="E57" s="50"/>
      <c r="F57" s="50"/>
      <c r="G57" s="50"/>
      <c r="H57" s="50"/>
      <c r="I57" s="50"/>
      <c r="J57" s="50"/>
      <c r="K57" s="50"/>
      <c r="L57" s="299"/>
    </row>
    <row r="58" spans="3:13" ht="15" customHeight="1">
      <c r="C58" s="50"/>
      <c r="D58" s="50"/>
      <c r="E58" s="50"/>
      <c r="F58" s="50"/>
      <c r="G58" s="50"/>
      <c r="H58" s="50"/>
      <c r="I58" s="50"/>
      <c r="J58" s="50"/>
      <c r="K58" s="50"/>
      <c r="L58" s="299"/>
    </row>
    <row r="59" spans="3:13" ht="15" customHeight="1">
      <c r="C59" s="50"/>
      <c r="D59" s="50"/>
      <c r="E59" s="50"/>
      <c r="F59" s="50"/>
      <c r="G59" s="50"/>
      <c r="H59" s="50"/>
      <c r="I59" s="50"/>
      <c r="J59" s="50"/>
      <c r="K59" s="50"/>
      <c r="L59" s="299"/>
    </row>
    <row r="60" spans="3:13" ht="15" customHeight="1">
      <c r="C60" s="50"/>
      <c r="D60" s="50"/>
      <c r="E60" s="50"/>
      <c r="F60" s="50"/>
      <c r="G60" s="50"/>
      <c r="H60" s="50"/>
      <c r="I60" s="50"/>
      <c r="J60" s="50"/>
      <c r="K60" s="50"/>
      <c r="L60" s="299"/>
    </row>
    <row r="61" spans="3:13" ht="15" customHeight="1">
      <c r="C61" s="50"/>
      <c r="D61" s="50"/>
      <c r="E61" s="50"/>
      <c r="F61" s="50"/>
      <c r="G61" s="50"/>
      <c r="H61" s="50"/>
      <c r="I61" s="50"/>
      <c r="J61" s="50"/>
      <c r="K61" s="50"/>
      <c r="L61" s="299"/>
    </row>
    <row r="62" spans="3:13" ht="15" customHeight="1">
      <c r="C62" s="50"/>
      <c r="D62" s="50"/>
      <c r="E62" s="50"/>
      <c r="F62" s="50"/>
      <c r="G62" s="50"/>
      <c r="H62" s="50"/>
      <c r="I62" s="50"/>
      <c r="J62" s="50"/>
      <c r="K62" s="50"/>
      <c r="L62" s="299"/>
    </row>
    <row r="63" spans="3:13" ht="15" customHeight="1">
      <c r="L63" s="50"/>
      <c r="M63" s="50"/>
    </row>
    <row r="64" spans="3:13" ht="15" customHeight="1">
      <c r="L64" s="50"/>
      <c r="M64" s="50"/>
    </row>
    <row r="65" spans="12:13" ht="15" customHeight="1">
      <c r="L65" s="50"/>
      <c r="M65" s="50"/>
    </row>
    <row r="66" spans="12:13" ht="15" customHeight="1">
      <c r="L66" s="50"/>
      <c r="M66" s="50"/>
    </row>
    <row r="67" spans="12:13" ht="15" customHeight="1">
      <c r="L67" s="50"/>
      <c r="M67" s="50"/>
    </row>
    <row r="68" spans="12:13" ht="15" customHeight="1">
      <c r="L68" s="50"/>
      <c r="M68" s="50"/>
    </row>
    <row r="69" spans="12:13" ht="15" customHeight="1">
      <c r="L69" s="50"/>
      <c r="M69" s="50"/>
    </row>
    <row r="70" spans="12:13" ht="15" customHeight="1">
      <c r="L70" s="50"/>
      <c r="M70" s="50"/>
    </row>
    <row r="71" spans="12:13" ht="15" customHeight="1">
      <c r="L71" s="50"/>
      <c r="M71" s="50"/>
    </row>
    <row r="72" spans="12:13" ht="15" customHeight="1">
      <c r="L72" s="50"/>
      <c r="M72" s="50"/>
    </row>
    <row r="73" spans="12:13" ht="15" customHeight="1">
      <c r="L73" s="50"/>
      <c r="M73" s="50"/>
    </row>
    <row r="74" spans="12:13" ht="15" customHeight="1">
      <c r="L74" s="50"/>
      <c r="M74" s="50"/>
    </row>
    <row r="75" spans="12:13" ht="15" customHeight="1">
      <c r="L75" s="50"/>
      <c r="M75" s="50"/>
    </row>
    <row r="76" spans="12:13" ht="15" customHeight="1">
      <c r="L76" s="50"/>
      <c r="M76" s="50"/>
    </row>
    <row r="77" spans="12:13" ht="15" customHeight="1">
      <c r="L77" s="50"/>
      <c r="M77" s="50"/>
    </row>
    <row r="78" spans="12:13" ht="15" customHeight="1">
      <c r="L78" s="50"/>
      <c r="M78" s="50"/>
    </row>
    <row r="79" spans="12:13" ht="15" customHeight="1">
      <c r="L79" s="50"/>
      <c r="M79" s="50"/>
    </row>
    <row r="80" spans="12:13" ht="15" customHeight="1">
      <c r="L80" s="50"/>
      <c r="M80" s="50"/>
    </row>
    <row r="81" spans="12:13" ht="15" customHeight="1">
      <c r="L81" s="50"/>
      <c r="M81" s="50"/>
    </row>
    <row r="82" spans="12:13" ht="15" customHeight="1">
      <c r="L82" s="50"/>
      <c r="M82" s="50"/>
    </row>
    <row r="83" spans="12:13" ht="15" customHeight="1">
      <c r="L83" s="50"/>
      <c r="M83" s="50"/>
    </row>
    <row r="84" spans="12:13" ht="15" customHeight="1">
      <c r="L84" s="50"/>
      <c r="M84" s="50"/>
    </row>
    <row r="85" spans="12:13" ht="15" customHeight="1">
      <c r="L85" s="50"/>
      <c r="M85" s="50"/>
    </row>
    <row r="86" spans="12:13" ht="15" customHeight="1">
      <c r="L86" s="50"/>
      <c r="M86" s="50"/>
    </row>
    <row r="87" spans="12:13" ht="15" customHeight="1">
      <c r="L87" s="50"/>
      <c r="M87" s="50"/>
    </row>
    <row r="88" spans="12:13" ht="15" customHeight="1">
      <c r="L88" s="50"/>
      <c r="M88" s="50"/>
    </row>
    <row r="89" spans="12:13" ht="15" customHeight="1">
      <c r="L89" s="50"/>
      <c r="M89" s="50"/>
    </row>
    <row r="90" spans="12:13" ht="15" customHeight="1">
      <c r="L90" s="50"/>
      <c r="M90" s="50"/>
    </row>
    <row r="91" spans="12:13" ht="15" customHeight="1">
      <c r="L91" s="50"/>
      <c r="M91" s="50"/>
    </row>
    <row r="92" spans="12:13" ht="15" customHeight="1">
      <c r="L92" s="50"/>
      <c r="M92" s="50"/>
    </row>
    <row r="93" spans="12:13" ht="15" customHeight="1">
      <c r="L93" s="50"/>
      <c r="M93" s="50"/>
    </row>
    <row r="94" spans="12:13" ht="15" customHeight="1">
      <c r="L94" s="50"/>
      <c r="M94" s="50"/>
    </row>
    <row r="95" spans="12:13" ht="15" customHeight="1">
      <c r="L95" s="50"/>
      <c r="M95" s="50"/>
    </row>
    <row r="96" spans="12:13" ht="15" customHeight="1">
      <c r="L96" s="50"/>
      <c r="M96" s="50"/>
    </row>
    <row r="97" spans="12:13" ht="15" customHeight="1">
      <c r="L97" s="50"/>
      <c r="M97" s="50"/>
    </row>
    <row r="98" spans="12:13" ht="15" customHeight="1"/>
    <row r="99" spans="12:13" ht="15" customHeight="1"/>
    <row r="100" spans="12:13" ht="15" customHeight="1"/>
    <row r="101" spans="12:13" ht="15" customHeight="1"/>
    <row r="102" spans="12:13" ht="15" customHeight="1"/>
    <row r="103" spans="12:13" ht="15" customHeight="1"/>
    <row r="104" spans="12:13" ht="15" customHeight="1"/>
    <row r="105" spans="12:13" ht="15" customHeight="1"/>
    <row r="106" spans="12:13" ht="15" customHeight="1"/>
    <row r="107" spans="12:13" ht="15" customHeight="1"/>
    <row r="108" spans="12:13" ht="15" customHeight="1"/>
    <row r="109" spans="12:13" ht="15" customHeight="1"/>
    <row r="110" spans="12:13" ht="15" customHeight="1"/>
    <row r="111" spans="12:13" ht="15" customHeight="1"/>
    <row r="112" spans="12:13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</sheetData>
  <mergeCells count="1">
    <mergeCell ref="I1:J1"/>
  </mergeCells>
  <conditionalFormatting sqref="B1">
    <cfRule type="cellIs" dxfId="55" priority="1" operator="equal">
      <formula>"Incomplete"</formula>
    </cfRule>
    <cfRule type="cellIs" dxfId="54" priority="2" operator="equal">
      <formula>"Flag for Review"</formula>
    </cfRule>
    <cfRule type="cellIs" dxfId="53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10" width="10.7109375" style="24" customWidth="1"/>
    <col min="11" max="11" width="9.140625" style="24" customWidth="1"/>
    <col min="12" max="16384" width="9.140625" style="24"/>
  </cols>
  <sheetData>
    <row r="1" spans="1:21" ht="15" customHeight="1">
      <c r="A1" s="7">
        <v>15</v>
      </c>
      <c r="B1" s="32" t="s">
        <v>12</v>
      </c>
      <c r="C1" s="23"/>
      <c r="D1" s="23"/>
      <c r="E1" s="23"/>
      <c r="F1" s="23"/>
      <c r="G1" s="23"/>
      <c r="H1" s="23"/>
      <c r="I1" s="469" t="s">
        <v>30</v>
      </c>
      <c r="J1" s="471"/>
      <c r="L1" s="50" t="s">
        <v>316</v>
      </c>
      <c r="M1"/>
      <c r="N1"/>
    </row>
    <row r="2" spans="1:21" ht="15" customHeight="1">
      <c r="A2" s="25"/>
      <c r="B2" s="22"/>
      <c r="C2" s="22"/>
      <c r="D2" s="22"/>
      <c r="E2" s="22"/>
      <c r="F2" s="22"/>
      <c r="G2" s="22"/>
      <c r="H2" s="22"/>
      <c r="I2" s="22"/>
      <c r="J2" s="26"/>
      <c r="K2" s="36"/>
      <c r="L2"/>
      <c r="M2"/>
    </row>
    <row r="3" spans="1:21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K3" s="36"/>
      <c r="L3" t="s">
        <v>304</v>
      </c>
      <c r="M3" t="s">
        <v>366</v>
      </c>
      <c r="P3" t="s">
        <v>369</v>
      </c>
    </row>
    <row r="4" spans="1:21" ht="15" customHeight="1">
      <c r="A4" s="9">
        <f>INDEX('Point Grid'!B:B,MATCH($A$1,'Point Grid'!A:A,0))</f>
        <v>3.5</v>
      </c>
      <c r="B4" s="49" t="s">
        <v>367</v>
      </c>
      <c r="C4" s="49"/>
      <c r="D4" s="49"/>
      <c r="E4" s="49"/>
      <c r="F4" s="49"/>
      <c r="G4" s="49"/>
      <c r="H4" s="22"/>
      <c r="I4" s="22"/>
      <c r="J4" s="26"/>
      <c r="K4" s="36"/>
      <c r="L4"/>
      <c r="M4">
        <f>0.68*D7+0.32*D9</f>
        <v>250.40000000000003</v>
      </c>
      <c r="P4">
        <f>0.68*D8+0.32*D10</f>
        <v>436</v>
      </c>
    </row>
    <row r="5" spans="1:21" ht="15" customHeight="1">
      <c r="A5" s="25"/>
      <c r="B5" s="49" t="s">
        <v>368</v>
      </c>
      <c r="C5" s="49"/>
      <c r="D5" s="49"/>
      <c r="E5" s="49"/>
      <c r="F5" s="49"/>
      <c r="G5" s="49"/>
      <c r="H5" s="22"/>
      <c r="I5" s="22"/>
      <c r="J5" s="26"/>
      <c r="K5" s="36"/>
      <c r="L5"/>
    </row>
    <row r="6" spans="1:21" ht="15" customHeight="1">
      <c r="A6" s="31"/>
      <c r="B6" s="49"/>
      <c r="C6" s="49"/>
      <c r="D6" s="49"/>
      <c r="E6" s="49"/>
      <c r="F6" s="49"/>
      <c r="G6" s="49"/>
      <c r="H6" s="22"/>
      <c r="I6" s="22"/>
      <c r="J6" s="26"/>
      <c r="K6" s="36"/>
      <c r="L6"/>
      <c r="M6" t="s">
        <v>372</v>
      </c>
    </row>
    <row r="7" spans="1:21" ht="15" customHeight="1">
      <c r="A7" s="31"/>
      <c r="B7" s="63" t="s">
        <v>370</v>
      </c>
      <c r="C7" s="64"/>
      <c r="D7" s="65">
        <v>300</v>
      </c>
      <c r="E7" s="49"/>
      <c r="F7" s="49"/>
      <c r="G7" s="49"/>
      <c r="H7" s="22"/>
      <c r="I7" s="22"/>
      <c r="J7" s="26"/>
      <c r="K7" s="36"/>
      <c r="L7"/>
      <c r="M7" s="68">
        <f>(D7^1.5+D8^1.5)^(1/1.5)</f>
        <v>644.88249798436334</v>
      </c>
    </row>
    <row r="8" spans="1:21" ht="15" customHeight="1">
      <c r="A8" s="31"/>
      <c r="B8" s="66" t="s">
        <v>371</v>
      </c>
      <c r="C8" s="49"/>
      <c r="D8" s="67">
        <v>500</v>
      </c>
      <c r="E8" s="49"/>
      <c r="F8" s="49"/>
      <c r="G8" s="49"/>
      <c r="H8" s="22"/>
      <c r="I8" s="22"/>
      <c r="J8" s="26"/>
      <c r="K8" s="36"/>
      <c r="L8"/>
    </row>
    <row r="9" spans="1:21" ht="15" customHeight="1">
      <c r="A9" s="31"/>
      <c r="B9" s="66" t="s">
        <v>373</v>
      </c>
      <c r="C9" s="49"/>
      <c r="D9" s="67">
        <v>145</v>
      </c>
      <c r="E9" s="49"/>
      <c r="F9" s="49"/>
      <c r="G9" s="49"/>
      <c r="H9" s="22"/>
      <c r="I9" s="22"/>
      <c r="J9" s="26"/>
      <c r="K9" s="36"/>
      <c r="L9"/>
      <c r="M9" t="s">
        <v>375</v>
      </c>
    </row>
    <row r="10" spans="1:21" ht="15" customHeight="1">
      <c r="A10" s="31"/>
      <c r="B10" s="66" t="s">
        <v>374</v>
      </c>
      <c r="C10" s="49"/>
      <c r="D10" s="67">
        <v>300</v>
      </c>
      <c r="E10" s="49"/>
      <c r="F10" s="49"/>
      <c r="G10" s="49"/>
      <c r="H10" s="22"/>
      <c r="I10" s="22"/>
      <c r="J10" s="26"/>
      <c r="K10" s="36"/>
      <c r="L10"/>
      <c r="M10" s="461">
        <f>M7*(2021-2014)/8+MAX(M4,P4)*(2022-2021)/8-D11</f>
        <v>418.77218573631797</v>
      </c>
    </row>
    <row r="11" spans="1:21" ht="15" customHeight="1">
      <c r="A11" s="31"/>
      <c r="B11" s="69" t="s">
        <v>376</v>
      </c>
      <c r="C11" s="70"/>
      <c r="D11" s="71">
        <v>200</v>
      </c>
      <c r="E11" s="49"/>
      <c r="F11" s="49"/>
      <c r="G11" s="49"/>
      <c r="H11" s="22"/>
      <c r="I11" s="22"/>
      <c r="J11" s="26"/>
      <c r="K11" s="36"/>
      <c r="L11"/>
    </row>
    <row r="12" spans="1:21" ht="15" customHeight="1">
      <c r="A12" s="31"/>
      <c r="B12" s="49"/>
      <c r="C12" s="49"/>
      <c r="D12" s="49"/>
      <c r="E12" s="49"/>
      <c r="F12" s="49"/>
      <c r="G12" s="49"/>
      <c r="H12" s="22"/>
      <c r="I12" s="22"/>
      <c r="J12" s="26"/>
      <c r="K12" s="36"/>
      <c r="L12"/>
      <c r="M12" t="s">
        <v>967</v>
      </c>
      <c r="N12" s="183" t="s">
        <v>521</v>
      </c>
      <c r="O12" s="183" t="s">
        <v>522</v>
      </c>
      <c r="P12" s="183" t="s">
        <v>968</v>
      </c>
      <c r="Q12" s="183" t="s">
        <v>524</v>
      </c>
      <c r="R12" s="183" t="s">
        <v>375</v>
      </c>
      <c r="S12" s="183" t="s">
        <v>527</v>
      </c>
      <c r="T12" s="183" t="s">
        <v>562</v>
      </c>
      <c r="U12" s="183">
        <v>1.25</v>
      </c>
    </row>
    <row r="13" spans="1:21" ht="15" customHeight="1">
      <c r="A13" s="31"/>
      <c r="B13" s="49" t="s">
        <v>377</v>
      </c>
      <c r="C13" s="49"/>
      <c r="D13" s="49"/>
      <c r="E13" s="49"/>
      <c r="F13" s="49"/>
      <c r="G13" s="49"/>
      <c r="H13" s="22"/>
      <c r="I13" s="22"/>
      <c r="J13" s="26"/>
      <c r="K13" s="36"/>
      <c r="L13"/>
      <c r="M13"/>
      <c r="N13" s="183" t="s">
        <v>521</v>
      </c>
      <c r="O13" s="183" t="s">
        <v>522</v>
      </c>
      <c r="P13" s="463">
        <f>I16</f>
        <v>145</v>
      </c>
      <c r="Q13" s="183" t="s">
        <v>524</v>
      </c>
      <c r="R13" s="464">
        <f>M10</f>
        <v>418.77218573631797</v>
      </c>
      <c r="S13" s="183" t="s">
        <v>527</v>
      </c>
      <c r="T13" s="183" t="s">
        <v>562</v>
      </c>
      <c r="U13" s="183">
        <v>1.25</v>
      </c>
    </row>
    <row r="14" spans="1:21" ht="15" customHeight="1">
      <c r="A14" s="31"/>
      <c r="B14" s="49" t="s">
        <v>378</v>
      </c>
      <c r="C14" s="49"/>
      <c r="D14" s="49"/>
      <c r="E14" s="49"/>
      <c r="F14" s="49"/>
      <c r="G14" s="49"/>
      <c r="H14" s="22"/>
      <c r="I14" s="22"/>
      <c r="J14" s="26"/>
      <c r="K14" s="36"/>
      <c r="N14" s="183" t="s">
        <v>521</v>
      </c>
      <c r="O14" s="465">
        <f>(P13+R13)*U13</f>
        <v>704.71523217039748</v>
      </c>
      <c r="P14" s="76" t="s">
        <v>971</v>
      </c>
    </row>
    <row r="15" spans="1:21" ht="15" customHeight="1">
      <c r="A15" s="31"/>
      <c r="B15" s="49"/>
      <c r="C15" s="49"/>
      <c r="D15" s="49"/>
      <c r="E15" s="49"/>
      <c r="F15" s="49"/>
      <c r="G15" s="49"/>
      <c r="H15" s="22"/>
      <c r="I15" s="22"/>
      <c r="J15" s="26"/>
      <c r="K15" s="36"/>
    </row>
    <row r="16" spans="1:21" ht="15" customHeight="1">
      <c r="A16" s="29" t="s">
        <v>2</v>
      </c>
      <c r="B16" s="49" t="s">
        <v>970</v>
      </c>
      <c r="C16" s="49"/>
      <c r="D16" s="49"/>
      <c r="E16" s="49"/>
      <c r="F16" s="49"/>
      <c r="G16" s="49"/>
      <c r="H16" s="22"/>
      <c r="I16" s="462">
        <v>145</v>
      </c>
      <c r="J16" s="26"/>
      <c r="K16" s="36"/>
    </row>
    <row r="17" spans="1:13" ht="15" customHeight="1" thickBot="1">
      <c r="A17" s="9">
        <f>INDEX('Point Grid'!$C$8:$I$40,MATCH($A$1,'Point Grid'!$A$8:$A$3400),MATCH(A16,'Point Grid'!$C$7:$I$7,0))</f>
        <v>1.5</v>
      </c>
      <c r="B17" s="49" t="s">
        <v>969</v>
      </c>
      <c r="C17" s="49"/>
      <c r="D17" s="49"/>
      <c r="E17" s="49"/>
      <c r="F17" s="49"/>
      <c r="G17" s="49"/>
      <c r="H17" s="22"/>
      <c r="I17" s="22"/>
      <c r="J17" s="26"/>
      <c r="K17" s="36"/>
      <c r="L17" t="s">
        <v>309</v>
      </c>
      <c r="M17" s="62" t="s">
        <v>379</v>
      </c>
    </row>
    <row r="18" spans="1:13" ht="15" customHeight="1" thickBot="1">
      <c r="A18" s="5"/>
      <c r="B18" s="49"/>
      <c r="C18" s="49"/>
      <c r="D18" s="49"/>
      <c r="E18" s="49"/>
      <c r="F18" s="49"/>
      <c r="G18" s="49"/>
      <c r="H18" s="22"/>
      <c r="I18" s="22"/>
      <c r="J18" s="26"/>
      <c r="K18" s="36"/>
      <c r="L18"/>
      <c r="M18" s="62" t="s">
        <v>380</v>
      </c>
    </row>
    <row r="19" spans="1:13" ht="15" customHeight="1">
      <c r="A19" s="31"/>
      <c r="B19" s="49"/>
      <c r="C19" s="49"/>
      <c r="D19" s="49"/>
      <c r="E19" s="49"/>
      <c r="F19" s="49"/>
      <c r="G19" s="49"/>
      <c r="H19" s="22"/>
      <c r="I19" s="22"/>
      <c r="J19" s="26"/>
      <c r="K19" s="36"/>
      <c r="L19"/>
      <c r="M19" s="62" t="s">
        <v>381</v>
      </c>
    </row>
    <row r="20" spans="1:13" ht="15" customHeight="1">
      <c r="A20" s="29" t="s">
        <v>3</v>
      </c>
      <c r="B20" s="49" t="s">
        <v>383</v>
      </c>
      <c r="C20" s="49"/>
      <c r="D20" s="49"/>
      <c r="E20" s="49"/>
      <c r="F20" s="49"/>
      <c r="G20" s="49"/>
      <c r="H20" s="22"/>
      <c r="I20" s="22"/>
      <c r="J20" s="26"/>
      <c r="K20" s="36"/>
      <c r="L20"/>
      <c r="M20" s="62" t="s">
        <v>382</v>
      </c>
    </row>
    <row r="21" spans="1:13" ht="15" customHeight="1" thickBot="1">
      <c r="A21" s="9">
        <f>INDEX('Point Grid'!$C$8:$I$40,MATCH($A$1,'Point Grid'!$A$8:$A$3400),MATCH(A20,'Point Grid'!$C$7:$I$7,0))</f>
        <v>1</v>
      </c>
      <c r="B21" s="22"/>
      <c r="C21" s="22"/>
      <c r="D21" s="22"/>
      <c r="E21" s="22"/>
      <c r="F21" s="22"/>
      <c r="G21" s="22"/>
      <c r="H21" s="22"/>
      <c r="I21" s="22"/>
      <c r="J21" s="26"/>
      <c r="K21" s="36"/>
      <c r="L21"/>
      <c r="M21"/>
    </row>
    <row r="22" spans="1:13" ht="15" customHeight="1" thickBot="1">
      <c r="A22" s="5"/>
      <c r="B22" s="22"/>
      <c r="C22" s="22"/>
      <c r="D22" s="22"/>
      <c r="E22" s="22"/>
      <c r="F22" s="22"/>
      <c r="G22" s="22"/>
      <c r="H22" s="22"/>
      <c r="I22" s="22"/>
      <c r="J22" s="26"/>
      <c r="K22" s="36"/>
      <c r="L22"/>
      <c r="M22"/>
    </row>
    <row r="23" spans="1:13" ht="15" customHeight="1">
      <c r="A23" s="31"/>
      <c r="B23" s="22"/>
      <c r="C23" s="22"/>
      <c r="D23" s="22"/>
      <c r="E23" s="22"/>
      <c r="F23" s="22"/>
      <c r="G23" s="22"/>
      <c r="H23" s="22"/>
      <c r="I23" s="22"/>
      <c r="J23" s="26"/>
      <c r="K23" s="36"/>
      <c r="L23" t="s">
        <v>312</v>
      </c>
      <c r="M23" t="s">
        <v>384</v>
      </c>
    </row>
    <row r="24" spans="1:13" ht="15" customHeight="1">
      <c r="A24" s="29" t="s">
        <v>4</v>
      </c>
      <c r="B24" s="33" t="s">
        <v>388</v>
      </c>
      <c r="C24" s="22"/>
      <c r="D24" s="22"/>
      <c r="E24" s="22"/>
      <c r="F24" s="22"/>
      <c r="G24" s="22"/>
      <c r="H24" s="22"/>
      <c r="I24" s="22"/>
      <c r="J24" s="26"/>
      <c r="K24" s="36"/>
      <c r="L24"/>
      <c r="M24" s="62" t="s">
        <v>385</v>
      </c>
    </row>
    <row r="25" spans="1:13" ht="15" customHeight="1" thickBot="1">
      <c r="A25" s="9">
        <f>INDEX('Point Grid'!$C$8:$I$40,MATCH($A$1,'Point Grid'!$A$8:$A$3400),MATCH(A24,'Point Grid'!$C$7:$I$7,0))</f>
        <v>1</v>
      </c>
      <c r="B25" s="22"/>
      <c r="C25" s="22"/>
      <c r="D25" s="22"/>
      <c r="E25" s="22"/>
      <c r="F25" s="22"/>
      <c r="G25" s="22"/>
      <c r="H25" s="22"/>
      <c r="I25" s="22"/>
      <c r="J25" s="26"/>
      <c r="K25" s="36"/>
      <c r="L25"/>
      <c r="M25" s="62" t="s">
        <v>386</v>
      </c>
    </row>
    <row r="26" spans="1:13" ht="15" customHeight="1" thickBot="1">
      <c r="A26" s="5"/>
      <c r="B26" s="22"/>
      <c r="C26" s="22"/>
      <c r="D26" s="22"/>
      <c r="E26" s="22"/>
      <c r="F26" s="22"/>
      <c r="G26" s="22"/>
      <c r="H26" s="22"/>
      <c r="I26" s="22"/>
      <c r="J26" s="26"/>
      <c r="K26" s="36"/>
      <c r="L26"/>
      <c r="M26" s="62" t="s">
        <v>387</v>
      </c>
    </row>
    <row r="27" spans="1:13" ht="15" customHeight="1">
      <c r="A27" s="25"/>
      <c r="B27" s="22"/>
      <c r="C27" s="22"/>
      <c r="D27" s="22"/>
      <c r="E27" s="22"/>
      <c r="F27" s="22"/>
      <c r="G27" s="22"/>
      <c r="H27" s="22"/>
      <c r="I27" s="22"/>
      <c r="J27" s="26"/>
      <c r="K27" s="36"/>
      <c r="L27"/>
      <c r="M27" s="62" t="s">
        <v>389</v>
      </c>
    </row>
    <row r="28" spans="1:13" ht="15" customHeight="1" thickBot="1">
      <c r="A28" s="27"/>
      <c r="B28" s="27"/>
      <c r="C28" s="27"/>
      <c r="D28" s="27"/>
      <c r="E28" s="27"/>
      <c r="F28" s="27"/>
      <c r="G28" s="27"/>
      <c r="H28" s="27"/>
      <c r="I28" s="27"/>
      <c r="J28" s="75"/>
      <c r="K28" s="74"/>
      <c r="L28"/>
      <c r="M28" s="62" t="s">
        <v>390</v>
      </c>
    </row>
    <row r="29" spans="1:13" ht="15" customHeight="1">
      <c r="K29" s="30"/>
      <c r="L29"/>
      <c r="M29" s="62" t="s">
        <v>391</v>
      </c>
    </row>
    <row r="30" spans="1:13" ht="15" customHeight="1">
      <c r="K30" s="30"/>
      <c r="L30"/>
      <c r="M30"/>
    </row>
    <row r="31" spans="1:13" ht="15" customHeight="1">
      <c r="K31" s="30"/>
      <c r="L31"/>
      <c r="M31"/>
    </row>
    <row r="32" spans="1:13" ht="15" customHeight="1">
      <c r="K32" s="30"/>
      <c r="L32"/>
      <c r="M32"/>
    </row>
    <row r="33" spans="11:13" ht="15" customHeight="1">
      <c r="K33" s="30"/>
      <c r="L33"/>
      <c r="M33"/>
    </row>
    <row r="34" spans="11:13" ht="15" customHeight="1">
      <c r="K34" s="30"/>
      <c r="L34"/>
      <c r="M34"/>
    </row>
    <row r="35" spans="11:13" ht="15" customHeight="1">
      <c r="K35" s="30"/>
      <c r="L35"/>
      <c r="M35"/>
    </row>
    <row r="36" spans="11:13" ht="15" customHeight="1">
      <c r="K36" s="30"/>
      <c r="L36"/>
      <c r="M36"/>
    </row>
    <row r="37" spans="11:13" ht="15" customHeight="1">
      <c r="K37" s="30"/>
      <c r="L37"/>
      <c r="M37"/>
    </row>
    <row r="38" spans="11:13" ht="15" customHeight="1">
      <c r="K38" s="30"/>
      <c r="L38"/>
      <c r="M38"/>
    </row>
    <row r="39" spans="11:13" ht="15" customHeight="1">
      <c r="K39" s="30"/>
      <c r="L39"/>
      <c r="M39"/>
    </row>
    <row r="40" spans="11:13" ht="15" customHeight="1">
      <c r="K40" s="30"/>
      <c r="L40"/>
      <c r="M40"/>
    </row>
    <row r="41" spans="11:13" ht="15" customHeight="1">
      <c r="K41" s="30"/>
      <c r="L41"/>
      <c r="M41"/>
    </row>
    <row r="42" spans="11:13" ht="15" customHeight="1">
      <c r="K42" s="30"/>
      <c r="L42"/>
      <c r="M42"/>
    </row>
    <row r="43" spans="11:13" ht="15" customHeight="1">
      <c r="K43" s="30"/>
      <c r="L43"/>
      <c r="M43"/>
    </row>
    <row r="44" spans="11:13" ht="15" customHeight="1">
      <c r="K44" s="30"/>
      <c r="L44"/>
      <c r="M44"/>
    </row>
    <row r="45" spans="11:13" ht="15" customHeight="1">
      <c r="K45" s="30"/>
      <c r="L45"/>
      <c r="M45"/>
    </row>
    <row r="46" spans="11:13" ht="15" customHeight="1">
      <c r="K46" s="30"/>
      <c r="L46"/>
      <c r="M46"/>
    </row>
    <row r="47" spans="11:13" ht="15" customHeight="1">
      <c r="K47" s="30"/>
      <c r="L47"/>
      <c r="M47"/>
    </row>
    <row r="48" spans="11:13" ht="15" customHeight="1">
      <c r="K48" s="30"/>
      <c r="L48"/>
      <c r="M48"/>
    </row>
    <row r="49" spans="11:14" ht="15" customHeight="1">
      <c r="K49" s="30"/>
      <c r="L49"/>
      <c r="M49"/>
    </row>
    <row r="50" spans="11:14" ht="15" customHeight="1">
      <c r="L50"/>
      <c r="M50"/>
      <c r="N50"/>
    </row>
    <row r="51" spans="11:14" ht="15" customHeight="1">
      <c r="L51"/>
      <c r="M51"/>
      <c r="N51"/>
    </row>
    <row r="52" spans="11:14" ht="15" customHeight="1">
      <c r="L52"/>
      <c r="M52"/>
      <c r="N52"/>
    </row>
    <row r="53" spans="11:14" ht="15" customHeight="1">
      <c r="L53"/>
      <c r="M53"/>
      <c r="N53"/>
    </row>
    <row r="54" spans="11:14" ht="15" customHeight="1">
      <c r="L54"/>
      <c r="M54"/>
      <c r="N54"/>
    </row>
    <row r="55" spans="11:14" ht="15" customHeight="1">
      <c r="L55"/>
      <c r="M55"/>
      <c r="N55"/>
    </row>
    <row r="56" spans="11:14" ht="15" customHeight="1">
      <c r="L56"/>
      <c r="M56"/>
      <c r="N56"/>
    </row>
    <row r="57" spans="11:14" ht="15" customHeight="1">
      <c r="L57"/>
      <c r="M57"/>
      <c r="N57"/>
    </row>
    <row r="58" spans="11:14" ht="15" customHeight="1">
      <c r="L58"/>
      <c r="M58"/>
      <c r="N58"/>
    </row>
    <row r="59" spans="11:14" ht="15" customHeight="1">
      <c r="L59"/>
      <c r="M59"/>
      <c r="N59"/>
    </row>
    <row r="60" spans="11:14" ht="15" customHeight="1">
      <c r="L60"/>
      <c r="M60"/>
      <c r="N60"/>
    </row>
    <row r="61" spans="11:14" ht="15" customHeight="1">
      <c r="L61"/>
      <c r="M61"/>
      <c r="N61"/>
    </row>
    <row r="62" spans="11:14" ht="15" customHeight="1">
      <c r="L62"/>
      <c r="M62"/>
      <c r="N62"/>
    </row>
    <row r="63" spans="11:14" ht="15" customHeight="1">
      <c r="L63"/>
      <c r="M63"/>
      <c r="N63"/>
    </row>
    <row r="64" spans="11:14" ht="15" customHeight="1">
      <c r="L64"/>
      <c r="M64"/>
      <c r="N64"/>
    </row>
    <row r="65" spans="12:14" ht="15" customHeight="1">
      <c r="L65"/>
      <c r="M65"/>
      <c r="N65"/>
    </row>
    <row r="66" spans="12:14" ht="15" customHeight="1">
      <c r="L66"/>
      <c r="M66"/>
      <c r="N66"/>
    </row>
    <row r="67" spans="12:14" ht="15" customHeight="1">
      <c r="L67"/>
      <c r="M67"/>
      <c r="N67"/>
    </row>
    <row r="68" spans="12:14" ht="15" customHeight="1">
      <c r="L68"/>
      <c r="M68"/>
      <c r="N68"/>
    </row>
    <row r="69" spans="12:14" ht="15" customHeight="1">
      <c r="L69"/>
      <c r="M69"/>
      <c r="N69"/>
    </row>
    <row r="70" spans="12:14" ht="15" customHeight="1">
      <c r="L70"/>
      <c r="M70"/>
      <c r="N70"/>
    </row>
    <row r="71" spans="12:14" ht="15" customHeight="1">
      <c r="L71"/>
      <c r="M71"/>
      <c r="N71"/>
    </row>
    <row r="72" spans="12:14" ht="15" customHeight="1">
      <c r="L72"/>
      <c r="M72"/>
      <c r="N72"/>
    </row>
    <row r="73" spans="12:14" ht="15" customHeight="1">
      <c r="L73"/>
      <c r="M73"/>
      <c r="N73"/>
    </row>
    <row r="74" spans="12:14" ht="15" customHeight="1">
      <c r="L74"/>
      <c r="M74"/>
      <c r="N74"/>
    </row>
    <row r="75" spans="12:14" ht="15" customHeight="1">
      <c r="L75"/>
      <c r="M75"/>
      <c r="N75"/>
    </row>
    <row r="76" spans="12:14" ht="15" customHeight="1">
      <c r="L76"/>
      <c r="M76"/>
      <c r="N76"/>
    </row>
    <row r="77" spans="12:14" ht="15" customHeight="1">
      <c r="L77"/>
      <c r="M77"/>
      <c r="N77"/>
    </row>
    <row r="78" spans="12:14" ht="15" customHeight="1">
      <c r="L78"/>
      <c r="M78"/>
      <c r="N78"/>
    </row>
    <row r="79" spans="12:14" ht="15" customHeight="1">
      <c r="L79"/>
      <c r="M79"/>
      <c r="N79"/>
    </row>
    <row r="80" spans="12:14" ht="15" customHeight="1">
      <c r="L80"/>
      <c r="M80"/>
      <c r="N80"/>
    </row>
    <row r="81" spans="12:14" ht="15" customHeight="1">
      <c r="L81"/>
      <c r="M81"/>
      <c r="N81"/>
    </row>
    <row r="82" spans="12:14" ht="15" customHeight="1">
      <c r="L82"/>
      <c r="M82"/>
      <c r="N82"/>
    </row>
    <row r="83" spans="12:14" ht="15" customHeight="1">
      <c r="L83"/>
      <c r="M83"/>
      <c r="N83"/>
    </row>
    <row r="84" spans="12:14" ht="15" customHeight="1">
      <c r="L84"/>
      <c r="M84"/>
      <c r="N84"/>
    </row>
    <row r="85" spans="12:14" ht="15" customHeight="1">
      <c r="L85"/>
      <c r="M85"/>
      <c r="N85"/>
    </row>
    <row r="86" spans="12:14" ht="15" customHeight="1">
      <c r="L86"/>
      <c r="M86"/>
      <c r="N86"/>
    </row>
    <row r="87" spans="12:14" ht="15" customHeight="1">
      <c r="L87"/>
      <c r="M87"/>
      <c r="N87"/>
    </row>
    <row r="88" spans="12:14" ht="15" customHeight="1"/>
    <row r="89" spans="12:14" ht="15" customHeight="1"/>
    <row r="90" spans="12:14" ht="15" customHeight="1"/>
    <row r="91" spans="12:14" ht="15" customHeight="1"/>
    <row r="92" spans="12:14" ht="15" customHeight="1"/>
    <row r="93" spans="12:14" ht="15" customHeight="1"/>
    <row r="94" spans="12:14" ht="15" customHeight="1"/>
    <row r="95" spans="12:14" ht="15" customHeight="1"/>
    <row r="96" spans="12:14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</sheetData>
  <mergeCells count="1">
    <mergeCell ref="I1:J1"/>
  </mergeCells>
  <conditionalFormatting sqref="B1">
    <cfRule type="cellIs" dxfId="52" priority="1" operator="equal">
      <formula>"Incomplete"</formula>
    </cfRule>
    <cfRule type="cellIs" dxfId="51" priority="2" operator="equal">
      <formula>"Flag for Review"</formula>
    </cfRule>
    <cfRule type="cellIs" dxfId="50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P76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6">
      <c r="A1" s="7">
        <v>16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</row>
    <row r="2" spans="1:16">
      <c r="A2" s="25"/>
      <c r="B2" s="22"/>
      <c r="C2" s="22"/>
      <c r="D2" s="22"/>
      <c r="E2" s="22"/>
      <c r="F2" s="22"/>
      <c r="G2" s="22"/>
      <c r="H2" s="22"/>
      <c r="I2" s="26"/>
    </row>
    <row r="3" spans="1:16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s="24" t="s">
        <v>304</v>
      </c>
    </row>
    <row r="4" spans="1:16" ht="15" customHeight="1">
      <c r="A4" s="9">
        <f>INDEX('Point Grid'!B:B,MATCH($A$1,'Point Grid'!A:A,0))</f>
        <v>3</v>
      </c>
      <c r="B4" s="49" t="s">
        <v>392</v>
      </c>
      <c r="C4" s="22"/>
      <c r="D4" s="22"/>
      <c r="E4" s="22"/>
      <c r="F4" s="22"/>
      <c r="G4" s="22"/>
      <c r="H4" s="22"/>
      <c r="I4" s="26"/>
      <c r="K4" s="24" t="s">
        <v>393</v>
      </c>
      <c r="L4" s="24" t="s">
        <v>394</v>
      </c>
    </row>
    <row r="5" spans="1:16" ht="15" customHeight="1">
      <c r="A5" s="25"/>
      <c r="B5" s="22"/>
      <c r="C5" s="22"/>
      <c r="D5" s="22"/>
      <c r="E5" s="22"/>
      <c r="F5" s="22"/>
      <c r="G5" s="22"/>
      <c r="H5" s="22"/>
      <c r="I5" s="26"/>
      <c r="L5" s="24" t="s">
        <v>395</v>
      </c>
    </row>
    <row r="6" spans="1:16" ht="15" customHeight="1">
      <c r="A6" s="29" t="s">
        <v>2</v>
      </c>
      <c r="B6" s="22" t="s">
        <v>396</v>
      </c>
      <c r="C6" s="22" t="s">
        <v>397</v>
      </c>
      <c r="D6" s="22"/>
      <c r="E6" s="22"/>
      <c r="F6" s="22"/>
      <c r="G6" s="22"/>
      <c r="H6" s="22"/>
      <c r="I6" s="26"/>
      <c r="L6" s="24" t="s">
        <v>398</v>
      </c>
    </row>
    <row r="7" spans="1:16" ht="15" customHeight="1" thickBot="1">
      <c r="A7" s="9">
        <f>INDEX('Point Grid'!$C$8:$I$40,MATCH($A$1,'Point Grid'!$A$8:$A$3400),MATCH(A6,'Point Grid'!$C$7:$I$7,0))</f>
        <v>1.5</v>
      </c>
      <c r="B7" s="22"/>
      <c r="C7" s="22" t="s">
        <v>399</v>
      </c>
      <c r="D7" s="22"/>
      <c r="E7" s="22"/>
      <c r="F7" s="22"/>
      <c r="G7" s="22"/>
      <c r="H7" s="22"/>
      <c r="I7" s="26"/>
      <c r="L7" s="24" t="s">
        <v>400</v>
      </c>
    </row>
    <row r="8" spans="1:16" ht="15" customHeight="1" thickBot="1">
      <c r="A8" s="5"/>
      <c r="B8" s="22"/>
      <c r="C8" s="22" t="s">
        <v>401</v>
      </c>
      <c r="D8" s="22"/>
      <c r="E8" s="22"/>
      <c r="F8" s="22"/>
      <c r="G8" s="22"/>
      <c r="H8" s="22"/>
      <c r="I8" s="26"/>
    </row>
    <row r="9" spans="1:16" ht="15" customHeight="1">
      <c r="A9" s="31"/>
      <c r="B9" s="22"/>
      <c r="C9" s="22" t="s">
        <v>402</v>
      </c>
      <c r="D9" s="22"/>
      <c r="E9" s="22"/>
      <c r="F9" s="22"/>
      <c r="G9" s="22"/>
      <c r="H9" s="22"/>
      <c r="I9" s="26"/>
      <c r="K9" s="24" t="s">
        <v>403</v>
      </c>
      <c r="L9" s="24" t="s">
        <v>404</v>
      </c>
    </row>
    <row r="10" spans="1:16" ht="15" customHeight="1">
      <c r="A10" s="31"/>
      <c r="B10" s="22"/>
      <c r="C10" s="22"/>
      <c r="D10" s="22"/>
      <c r="E10" s="22"/>
      <c r="F10" s="22"/>
      <c r="G10" s="22"/>
      <c r="H10" s="22"/>
      <c r="I10" s="26"/>
      <c r="L10" s="24" t="s">
        <v>405</v>
      </c>
    </row>
    <row r="11" spans="1:16" ht="15" customHeight="1">
      <c r="A11" s="31"/>
      <c r="B11" s="22" t="s">
        <v>406</v>
      </c>
      <c r="C11" s="22" t="s">
        <v>407</v>
      </c>
      <c r="D11" s="22"/>
      <c r="E11" s="22"/>
      <c r="F11" s="22"/>
      <c r="G11" s="22"/>
      <c r="H11" s="22"/>
      <c r="I11" s="26"/>
    </row>
    <row r="12" spans="1:16" ht="15" customHeight="1">
      <c r="A12" s="31"/>
      <c r="B12" s="22"/>
      <c r="C12" s="22" t="s">
        <v>408</v>
      </c>
      <c r="D12" s="22"/>
      <c r="E12" s="22"/>
      <c r="F12" s="22"/>
      <c r="G12" s="22"/>
      <c r="H12" s="22"/>
      <c r="I12" s="26"/>
    </row>
    <row r="13" spans="1:16" ht="15" customHeight="1">
      <c r="A13" s="31"/>
      <c r="B13" s="22"/>
      <c r="C13" s="22" t="s">
        <v>409</v>
      </c>
      <c r="D13" s="22"/>
      <c r="E13" s="22"/>
      <c r="F13" s="22"/>
      <c r="G13" s="22"/>
      <c r="H13" s="22"/>
      <c r="I13" s="26"/>
      <c r="K13" s="24" t="s">
        <v>410</v>
      </c>
      <c r="L13" s="24" t="s">
        <v>404</v>
      </c>
    </row>
    <row r="14" spans="1:16" ht="15" customHeight="1">
      <c r="A14" s="31"/>
      <c r="B14" s="22"/>
      <c r="C14" s="22" t="s">
        <v>411</v>
      </c>
      <c r="D14" s="22"/>
      <c r="E14" s="22"/>
      <c r="F14" s="22"/>
      <c r="G14" s="22"/>
      <c r="H14" s="22"/>
      <c r="I14" s="26"/>
      <c r="L14" s="24" t="s">
        <v>412</v>
      </c>
    </row>
    <row r="15" spans="1:16" ht="15" customHeight="1">
      <c r="A15" s="31"/>
      <c r="B15" s="22"/>
      <c r="C15" s="22"/>
      <c r="D15" s="22"/>
      <c r="E15" s="22"/>
      <c r="F15" s="22"/>
      <c r="G15" s="22"/>
      <c r="H15" s="22"/>
      <c r="I15" s="26"/>
    </row>
    <row r="16" spans="1:16" ht="15" customHeight="1">
      <c r="A16" s="31"/>
      <c r="B16" s="22" t="s">
        <v>413</v>
      </c>
      <c r="C16" s="22" t="s">
        <v>414</v>
      </c>
      <c r="D16" s="22"/>
      <c r="E16" s="22"/>
      <c r="F16" s="22"/>
      <c r="G16" s="22"/>
      <c r="H16" s="22"/>
      <c r="I16" s="26"/>
      <c r="K16" s="24" t="s">
        <v>309</v>
      </c>
      <c r="L16" s="24" t="s">
        <v>415</v>
      </c>
      <c r="P16" s="76"/>
    </row>
    <row r="17" spans="1:12" ht="15" customHeight="1">
      <c r="A17" s="31"/>
      <c r="B17" s="22"/>
      <c r="C17" s="22" t="s">
        <v>416</v>
      </c>
      <c r="D17" s="22"/>
      <c r="E17" s="22"/>
      <c r="F17" s="22"/>
      <c r="G17" s="22"/>
      <c r="H17" s="22"/>
      <c r="I17" s="26"/>
      <c r="L17" s="24" t="s">
        <v>417</v>
      </c>
    </row>
    <row r="18" spans="1:12" ht="15" customHeight="1">
      <c r="A18" s="31"/>
      <c r="B18" s="22"/>
      <c r="C18" s="22" t="s">
        <v>418</v>
      </c>
      <c r="D18" s="22"/>
      <c r="E18" s="22"/>
      <c r="F18" s="22"/>
      <c r="G18" s="22"/>
      <c r="H18" s="22"/>
      <c r="I18" s="26"/>
      <c r="L18" s="24" t="s">
        <v>419</v>
      </c>
    </row>
    <row r="19" spans="1:12" ht="15" customHeight="1">
      <c r="A19" s="31"/>
      <c r="B19" s="22"/>
      <c r="C19" s="22" t="s">
        <v>420</v>
      </c>
      <c r="D19" s="22"/>
      <c r="E19" s="22"/>
      <c r="F19" s="22"/>
      <c r="G19" s="22"/>
      <c r="H19" s="22"/>
      <c r="I19" s="26"/>
    </row>
    <row r="20" spans="1:12" ht="15" customHeight="1">
      <c r="A20" s="31"/>
      <c r="B20" s="22"/>
      <c r="C20" s="22" t="s">
        <v>421</v>
      </c>
      <c r="D20" s="22"/>
      <c r="E20" s="22"/>
      <c r="F20" s="22"/>
      <c r="G20" s="22"/>
      <c r="H20" s="22"/>
      <c r="I20" s="26"/>
      <c r="L20" s="24" t="s">
        <v>422</v>
      </c>
    </row>
    <row r="21" spans="1:12" ht="15" customHeight="1">
      <c r="A21" s="31"/>
      <c r="B21" s="22"/>
      <c r="C21" s="22"/>
      <c r="D21" s="22"/>
      <c r="E21" s="22"/>
      <c r="F21" s="22"/>
      <c r="G21" s="22"/>
      <c r="H21" s="22"/>
      <c r="I21" s="26"/>
      <c r="L21" s="24" t="s">
        <v>423</v>
      </c>
    </row>
    <row r="22" spans="1:12" ht="15" customHeight="1">
      <c r="A22" s="29" t="s">
        <v>3</v>
      </c>
      <c r="B22" s="49" t="s">
        <v>424</v>
      </c>
      <c r="C22" s="22"/>
      <c r="D22" s="22"/>
      <c r="E22" s="22"/>
      <c r="F22" s="22"/>
      <c r="G22" s="22"/>
      <c r="H22" s="22"/>
      <c r="I22" s="26"/>
    </row>
    <row r="23" spans="1:12" ht="15" customHeight="1" thickBot="1">
      <c r="A23" s="9">
        <f>INDEX('Point Grid'!$C$8:$I$40,MATCH($A$1,'Point Grid'!$A$8:$A$3400),MATCH(A22,'Point Grid'!$C$7:$I$7,0))</f>
        <v>1.5</v>
      </c>
      <c r="B23" s="49" t="s">
        <v>954</v>
      </c>
      <c r="C23" s="22"/>
      <c r="D23" s="22"/>
      <c r="E23" s="22"/>
      <c r="F23" s="22"/>
      <c r="G23" s="22"/>
      <c r="H23" s="22"/>
      <c r="I23" s="26"/>
      <c r="L23" s="24" t="s">
        <v>425</v>
      </c>
    </row>
    <row r="24" spans="1:12" ht="15" customHeight="1" thickBot="1">
      <c r="A24" s="5"/>
      <c r="B24" s="22"/>
      <c r="C24" s="22"/>
      <c r="D24" s="22"/>
      <c r="E24" s="22"/>
      <c r="F24" s="22"/>
      <c r="G24" s="22"/>
      <c r="H24" s="22"/>
      <c r="I24" s="26"/>
      <c r="L24" s="24" t="s">
        <v>426</v>
      </c>
    </row>
    <row r="25" spans="1:12" ht="15" customHeight="1">
      <c r="A25" s="31"/>
      <c r="B25" s="22"/>
      <c r="C25" s="22"/>
      <c r="D25" s="22"/>
      <c r="E25" s="22"/>
      <c r="F25" s="22"/>
      <c r="G25" s="22"/>
      <c r="H25" s="22"/>
      <c r="I25" s="26"/>
      <c r="L25" s="24" t="s">
        <v>427</v>
      </c>
    </row>
    <row r="26" spans="1:12" ht="15" customHeight="1" thickBot="1">
      <c r="A26" s="27"/>
      <c r="B26" s="27"/>
      <c r="C26" s="27"/>
      <c r="D26" s="27"/>
      <c r="E26" s="27"/>
      <c r="F26" s="27"/>
      <c r="G26" s="27"/>
      <c r="H26" s="27"/>
      <c r="I26" s="28"/>
    </row>
    <row r="27" spans="1:12" ht="15" customHeight="1"/>
    <row r="28" spans="1:12" ht="15" customHeight="1"/>
    <row r="29" spans="1:12" ht="15" customHeight="1"/>
    <row r="30" spans="1:12" ht="15" customHeight="1"/>
    <row r="31" spans="1:12" ht="15" customHeight="1"/>
    <row r="32" spans="1:1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mergeCells count="1">
    <mergeCell ref="H1:I1"/>
  </mergeCells>
  <conditionalFormatting sqref="B1">
    <cfRule type="cellIs" dxfId="49" priority="1" operator="equal">
      <formula>"Incomplete"</formula>
    </cfRule>
    <cfRule type="cellIs" dxfId="48" priority="2" operator="equal">
      <formula>"Flag for Review"</formula>
    </cfRule>
    <cfRule type="cellIs" dxfId="47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Z154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5">
      <c r="A1" s="7">
        <v>17</v>
      </c>
      <c r="B1" s="32" t="s">
        <v>12</v>
      </c>
      <c r="C1" s="23"/>
      <c r="D1" s="23"/>
      <c r="E1" s="23"/>
      <c r="F1" s="23"/>
      <c r="G1" s="23"/>
      <c r="H1" s="23"/>
      <c r="I1" s="469" t="s">
        <v>30</v>
      </c>
      <c r="J1" s="472"/>
      <c r="L1" s="24" t="s">
        <v>316</v>
      </c>
      <c r="M1" s="101" t="s">
        <v>508</v>
      </c>
      <c r="N1" s="101"/>
    </row>
    <row r="2" spans="1:25">
      <c r="A2" s="25"/>
      <c r="B2" s="22"/>
      <c r="C2" s="22"/>
      <c r="D2" s="22"/>
      <c r="E2" s="22"/>
      <c r="F2" s="22"/>
      <c r="G2" s="22"/>
      <c r="H2" s="22"/>
      <c r="I2" s="22"/>
      <c r="J2" s="26"/>
    </row>
    <row r="3" spans="1:25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L3" s="183" t="s">
        <v>2</v>
      </c>
      <c r="M3" s="184" t="s">
        <v>509</v>
      </c>
      <c r="N3" s="184"/>
      <c r="O3" s="184"/>
      <c r="P3" s="184"/>
      <c r="Q3" s="185">
        <f>SUM(F8:F15)</f>
        <v>185365</v>
      </c>
      <c r="R3" s="186" t="s">
        <v>510</v>
      </c>
      <c r="S3" s="184"/>
      <c r="T3" s="184"/>
      <c r="U3" s="184"/>
    </row>
    <row r="4" spans="1:25" ht="15" customHeight="1">
      <c r="A4" s="9">
        <f>INDEX('Point Grid'!B:B,MATCH($A$1,'Point Grid'!A:A,0))</f>
        <v>7.75</v>
      </c>
      <c r="B4" s="22"/>
      <c r="C4" s="22"/>
      <c r="D4" s="22"/>
      <c r="E4" s="22"/>
      <c r="F4" s="22"/>
      <c r="G4" s="22"/>
      <c r="H4" s="22"/>
      <c r="I4" s="22"/>
      <c r="J4" s="26"/>
      <c r="M4" s="184" t="s">
        <v>511</v>
      </c>
      <c r="N4" s="184"/>
      <c r="O4" s="184"/>
      <c r="P4" s="184"/>
      <c r="Q4" s="185">
        <f>P20</f>
        <v>0</v>
      </c>
      <c r="R4" s="186" t="s">
        <v>512</v>
      </c>
      <c r="S4" s="184"/>
      <c r="T4" s="184"/>
      <c r="U4" s="184"/>
    </row>
    <row r="5" spans="1:25" ht="15" customHeight="1">
      <c r="A5" s="25"/>
      <c r="B5" s="22"/>
      <c r="C5" s="22"/>
      <c r="D5" s="22"/>
      <c r="E5" s="22"/>
      <c r="F5" s="22"/>
      <c r="G5" s="22"/>
      <c r="H5" s="22"/>
      <c r="I5" s="22"/>
      <c r="J5" s="26"/>
      <c r="M5" s="187" t="s">
        <v>513</v>
      </c>
      <c r="N5" s="187"/>
      <c r="O5" s="187"/>
      <c r="P5" s="187"/>
      <c r="Q5" s="188">
        <f>Q41</f>
        <v>4636.7499999999982</v>
      </c>
      <c r="R5" s="189" t="s">
        <v>512</v>
      </c>
      <c r="S5" s="187"/>
      <c r="T5" s="187"/>
      <c r="U5" s="184"/>
    </row>
    <row r="6" spans="1:25" ht="15" customHeight="1">
      <c r="A6" s="29" t="s">
        <v>2</v>
      </c>
      <c r="B6" s="22" t="s">
        <v>514</v>
      </c>
      <c r="C6" s="22"/>
      <c r="D6" s="22"/>
      <c r="E6" s="22"/>
      <c r="F6" s="22"/>
      <c r="G6" s="22"/>
      <c r="H6" s="22"/>
      <c r="I6" s="22"/>
      <c r="J6" s="26"/>
      <c r="M6" s="184" t="s">
        <v>515</v>
      </c>
      <c r="N6" s="184"/>
      <c r="O6" s="184"/>
      <c r="P6" s="184"/>
      <c r="Q6" s="190">
        <f>Q3-Q4-Q5</f>
        <v>180728.25</v>
      </c>
      <c r="R6" s="76" t="s">
        <v>516</v>
      </c>
      <c r="S6" s="184"/>
      <c r="T6" s="184"/>
      <c r="U6" s="184"/>
    </row>
    <row r="7" spans="1:25" ht="15" customHeight="1" thickBot="1">
      <c r="A7" s="9">
        <f>INDEX('Point Grid'!$C$8:$I$40,MATCH($A$1,'Point Grid'!$A$8:$A$3400),MATCH(A6,'Point Grid'!$C$7:$I$7,0))</f>
        <v>2.25</v>
      </c>
      <c r="B7" s="22"/>
      <c r="C7" s="22"/>
      <c r="D7" s="22"/>
      <c r="E7" s="22"/>
      <c r="F7" s="22"/>
      <c r="G7" s="22"/>
      <c r="H7" s="22"/>
      <c r="I7" s="22"/>
      <c r="J7" s="26"/>
    </row>
    <row r="8" spans="1:25" ht="15" customHeight="1" thickBot="1">
      <c r="A8" s="5"/>
      <c r="B8" s="152" t="s">
        <v>517</v>
      </c>
      <c r="C8" s="191"/>
      <c r="D8" s="191"/>
      <c r="E8" s="191"/>
      <c r="F8" s="192">
        <v>83220</v>
      </c>
      <c r="G8" s="22"/>
      <c r="H8" s="22"/>
      <c r="I8" s="22"/>
      <c r="J8" s="26"/>
      <c r="M8" s="193" t="s">
        <v>518</v>
      </c>
      <c r="N8" s="194"/>
      <c r="O8" s="194"/>
      <c r="P8" s="194"/>
      <c r="Q8" s="194"/>
      <c r="R8" s="194"/>
      <c r="S8" s="194"/>
      <c r="T8" s="194"/>
      <c r="U8" s="194"/>
      <c r="V8" s="194"/>
      <c r="W8" s="195"/>
    </row>
    <row r="9" spans="1:25" ht="15" customHeight="1">
      <c r="A9" s="22"/>
      <c r="B9" s="152" t="s">
        <v>519</v>
      </c>
      <c r="C9" s="191"/>
      <c r="D9" s="191"/>
      <c r="E9" s="191"/>
      <c r="F9" s="192">
        <v>5640</v>
      </c>
      <c r="G9" s="22"/>
      <c r="H9" s="22"/>
      <c r="I9" s="22"/>
      <c r="J9" s="26"/>
    </row>
    <row r="10" spans="1:25" ht="15" customHeight="1">
      <c r="A10" s="22"/>
      <c r="B10" s="154" t="s">
        <v>520</v>
      </c>
      <c r="C10" s="95"/>
      <c r="D10" s="22"/>
      <c r="E10" s="95"/>
      <c r="F10" s="196">
        <v>17810</v>
      </c>
      <c r="G10" s="22"/>
      <c r="H10" s="22"/>
      <c r="I10" s="22"/>
      <c r="J10" s="26"/>
      <c r="N10" s="183" t="s">
        <v>275</v>
      </c>
      <c r="O10" s="183" t="s">
        <v>521</v>
      </c>
      <c r="P10" s="183" t="s">
        <v>522</v>
      </c>
      <c r="Q10" s="197" t="s">
        <v>523</v>
      </c>
      <c r="R10" s="183" t="s">
        <v>524</v>
      </c>
      <c r="S10" s="197" t="s">
        <v>525</v>
      </c>
      <c r="T10" s="183" t="s">
        <v>524</v>
      </c>
      <c r="U10" s="198" t="s">
        <v>526</v>
      </c>
      <c r="V10" s="183"/>
      <c r="W10" s="183"/>
      <c r="X10" s="183"/>
      <c r="Y10" s="183" t="s">
        <v>527</v>
      </c>
    </row>
    <row r="11" spans="1:25" ht="15" customHeight="1">
      <c r="A11" s="22"/>
      <c r="B11" s="154" t="s">
        <v>528</v>
      </c>
      <c r="C11" s="95"/>
      <c r="D11" s="95"/>
      <c r="E11" s="95"/>
      <c r="F11" s="196">
        <v>5600</v>
      </c>
      <c r="G11" s="22"/>
      <c r="H11" s="22"/>
      <c r="I11" s="22"/>
      <c r="J11" s="26"/>
      <c r="O11" s="199" t="s">
        <v>529</v>
      </c>
      <c r="P11" s="183" t="s">
        <v>522</v>
      </c>
      <c r="Q11" s="199" t="s">
        <v>530</v>
      </c>
      <c r="R11" s="183" t="s">
        <v>524</v>
      </c>
      <c r="S11" s="199" t="s">
        <v>531</v>
      </c>
      <c r="T11" s="183" t="s">
        <v>524</v>
      </c>
      <c r="U11" s="460" t="s">
        <v>947</v>
      </c>
      <c r="V11" s="183"/>
      <c r="W11" s="183"/>
      <c r="X11" s="183"/>
      <c r="Y11" s="183" t="s">
        <v>527</v>
      </c>
    </row>
    <row r="12" spans="1:25" ht="15" customHeight="1">
      <c r="A12" s="22"/>
      <c r="B12" s="155" t="s">
        <v>533</v>
      </c>
      <c r="C12" s="200"/>
      <c r="D12" s="200"/>
      <c r="E12" s="200"/>
      <c r="F12" s="201">
        <v>15890</v>
      </c>
      <c r="G12" s="22"/>
      <c r="H12" s="22"/>
      <c r="I12" s="22"/>
      <c r="J12" s="26"/>
    </row>
    <row r="13" spans="1:25" ht="15" customHeight="1">
      <c r="A13" s="22"/>
      <c r="B13" s="152" t="s">
        <v>534</v>
      </c>
      <c r="C13" s="191"/>
      <c r="D13" s="191"/>
      <c r="E13" s="191"/>
      <c r="F13" s="192">
        <v>39600</v>
      </c>
      <c r="G13" s="22"/>
      <c r="H13" s="22"/>
      <c r="I13" s="22"/>
      <c r="J13" s="26"/>
      <c r="O13" s="183" t="s">
        <v>521</v>
      </c>
      <c r="P13" s="183" t="s">
        <v>522</v>
      </c>
      <c r="Q13" s="202">
        <f>B29</f>
        <v>35550</v>
      </c>
      <c r="R13" s="183" t="s">
        <v>524</v>
      </c>
      <c r="S13" s="202">
        <f>C29</f>
        <v>13200</v>
      </c>
      <c r="T13" s="183" t="s">
        <v>524</v>
      </c>
      <c r="U13" s="202">
        <f>D29</f>
        <v>4340</v>
      </c>
      <c r="V13" s="183"/>
      <c r="W13" s="183" t="s">
        <v>527</v>
      </c>
    </row>
    <row r="14" spans="1:25" ht="15" customHeight="1">
      <c r="A14" s="22"/>
      <c r="B14" s="155" t="s">
        <v>535</v>
      </c>
      <c r="C14" s="200"/>
      <c r="D14" s="200"/>
      <c r="E14" s="200"/>
      <c r="F14" s="201">
        <v>16500</v>
      </c>
      <c r="G14" s="22"/>
      <c r="H14" s="22"/>
      <c r="I14" s="22"/>
      <c r="J14" s="26"/>
      <c r="O14" s="199" t="s">
        <v>529</v>
      </c>
      <c r="P14" s="183" t="s">
        <v>522</v>
      </c>
      <c r="Q14" s="203">
        <f>E29</f>
        <v>24210</v>
      </c>
      <c r="R14" s="183" t="s">
        <v>524</v>
      </c>
      <c r="S14" s="203">
        <f>F29</f>
        <v>20080</v>
      </c>
      <c r="T14" s="183" t="s">
        <v>524</v>
      </c>
      <c r="U14" s="203">
        <f>MIN(G29,30%*(B29+C29))</f>
        <v>14625</v>
      </c>
      <c r="V14" s="183"/>
      <c r="W14" s="183" t="s">
        <v>527</v>
      </c>
    </row>
    <row r="15" spans="1:25" ht="15" customHeight="1">
      <c r="A15" s="22"/>
      <c r="B15" s="155" t="s">
        <v>536</v>
      </c>
      <c r="C15" s="200"/>
      <c r="D15" s="200"/>
      <c r="E15" s="200"/>
      <c r="F15" s="201">
        <v>1105</v>
      </c>
      <c r="G15" s="22"/>
      <c r="H15" s="22"/>
      <c r="I15" s="22"/>
      <c r="J15" s="26"/>
    </row>
    <row r="16" spans="1:25" ht="15" customHeight="1">
      <c r="A16" s="22"/>
      <c r="B16" s="22"/>
      <c r="C16" s="22"/>
      <c r="D16" s="22"/>
      <c r="E16" s="22"/>
      <c r="F16" s="22"/>
      <c r="G16" s="22"/>
      <c r="H16" s="22"/>
      <c r="I16" s="22"/>
      <c r="J16" s="26"/>
      <c r="O16" s="183" t="s">
        <v>521</v>
      </c>
      <c r="P16" s="103">
        <f>Q13+S13+U13-(Q14+S14+U14)</f>
        <v>-5825</v>
      </c>
    </row>
    <row r="17" spans="1:23" ht="15" customHeight="1">
      <c r="A17" s="22"/>
      <c r="B17" s="204" t="s">
        <v>537</v>
      </c>
      <c r="C17" s="204"/>
      <c r="D17" s="204"/>
      <c r="E17" s="204"/>
      <c r="F17" s="204"/>
      <c r="G17" s="204"/>
      <c r="H17" s="204"/>
      <c r="I17" s="204"/>
      <c r="J17" s="26"/>
      <c r="K17" s="184"/>
    </row>
    <row r="18" spans="1:23" ht="15" customHeight="1">
      <c r="A18" s="22"/>
      <c r="B18" s="204"/>
      <c r="C18" s="204"/>
      <c r="D18" s="204"/>
      <c r="E18" s="204"/>
      <c r="F18" s="204"/>
      <c r="G18" s="204"/>
      <c r="H18" s="204"/>
      <c r="I18" s="204"/>
      <c r="J18" s="26"/>
      <c r="K18" s="184"/>
      <c r="N18" s="205" t="s">
        <v>538</v>
      </c>
      <c r="O18" s="183" t="s">
        <v>521</v>
      </c>
      <c r="P18" s="183" t="s">
        <v>539</v>
      </c>
      <c r="Q18" s="183" t="s">
        <v>522</v>
      </c>
      <c r="R18" s="183">
        <v>0</v>
      </c>
      <c r="S18" s="183" t="s">
        <v>540</v>
      </c>
      <c r="T18" s="183" t="s">
        <v>275</v>
      </c>
      <c r="U18" s="183" t="s">
        <v>527</v>
      </c>
    </row>
    <row r="19" spans="1:23" ht="15" customHeight="1">
      <c r="A19" s="22"/>
      <c r="B19" s="204" t="s">
        <v>541</v>
      </c>
      <c r="C19" s="204" t="s">
        <v>542</v>
      </c>
      <c r="D19" s="204"/>
      <c r="E19" s="204"/>
      <c r="F19" s="204"/>
      <c r="G19" s="204"/>
      <c r="H19" s="204"/>
      <c r="I19" s="204"/>
      <c r="J19" s="26"/>
      <c r="K19" s="184"/>
      <c r="O19" s="183" t="s">
        <v>521</v>
      </c>
      <c r="P19" s="183" t="s">
        <v>539</v>
      </c>
      <c r="Q19" s="183" t="s">
        <v>522</v>
      </c>
      <c r="R19" s="183">
        <v>0</v>
      </c>
      <c r="S19" s="183" t="s">
        <v>540</v>
      </c>
      <c r="T19" s="206">
        <f>P16</f>
        <v>-5825</v>
      </c>
      <c r="U19" s="183" t="s">
        <v>527</v>
      </c>
    </row>
    <row r="20" spans="1:23" ht="15" customHeight="1">
      <c r="A20" s="22"/>
      <c r="B20" s="204" t="s">
        <v>543</v>
      </c>
      <c r="C20" s="204" t="s">
        <v>544</v>
      </c>
      <c r="D20" s="204"/>
      <c r="E20" s="204"/>
      <c r="F20" s="204"/>
      <c r="G20" s="204"/>
      <c r="H20" s="204"/>
      <c r="I20" s="204"/>
      <c r="J20" s="26"/>
      <c r="K20" s="184"/>
      <c r="O20" s="183" t="s">
        <v>521</v>
      </c>
      <c r="P20" s="207">
        <f>MAX(R19,T19)</f>
        <v>0</v>
      </c>
      <c r="Q20" s="76" t="s">
        <v>545</v>
      </c>
    </row>
    <row r="21" spans="1:23" ht="15" customHeight="1">
      <c r="A21" s="22"/>
      <c r="B21" s="204" t="s">
        <v>546</v>
      </c>
      <c r="C21" s="204" t="s">
        <v>547</v>
      </c>
      <c r="D21" s="204"/>
      <c r="E21" s="204"/>
      <c r="F21" s="204"/>
      <c r="G21" s="204"/>
      <c r="H21" s="204"/>
      <c r="I21" s="204"/>
      <c r="J21" s="26"/>
      <c r="K21" s="184"/>
    </row>
    <row r="22" spans="1:23" ht="15" customHeight="1">
      <c r="A22" s="22"/>
      <c r="B22" s="204" t="s">
        <v>548</v>
      </c>
      <c r="C22" s="204" t="s">
        <v>549</v>
      </c>
      <c r="D22" s="204"/>
      <c r="E22" s="204"/>
      <c r="F22" s="204"/>
      <c r="G22" s="204"/>
      <c r="H22" s="204"/>
      <c r="I22" s="204"/>
      <c r="J22" s="26"/>
      <c r="K22" s="184"/>
      <c r="M22" s="193" t="s">
        <v>513</v>
      </c>
      <c r="N22" s="194"/>
      <c r="O22" s="194"/>
      <c r="P22" s="194"/>
      <c r="Q22" s="194"/>
      <c r="R22" s="194"/>
      <c r="S22" s="194"/>
      <c r="T22" s="194"/>
      <c r="U22" s="194"/>
      <c r="V22" s="194"/>
      <c r="W22" s="195"/>
    </row>
    <row r="23" spans="1:23" ht="15" customHeight="1">
      <c r="A23" s="22"/>
      <c r="B23" s="204" t="s">
        <v>550</v>
      </c>
      <c r="C23" s="204" t="s">
        <v>551</v>
      </c>
      <c r="D23" s="204"/>
      <c r="E23" s="204"/>
      <c r="F23" s="204"/>
      <c r="G23" s="204"/>
      <c r="H23" s="204"/>
      <c r="I23" s="204"/>
      <c r="J23" s="26"/>
      <c r="K23" s="184"/>
    </row>
    <row r="24" spans="1:23" ht="15" customHeight="1">
      <c r="A24" s="22"/>
      <c r="B24" s="204"/>
      <c r="C24" s="204" t="s">
        <v>552</v>
      </c>
      <c r="D24" s="204"/>
      <c r="E24" s="204"/>
      <c r="F24" s="204"/>
      <c r="G24" s="204"/>
      <c r="H24" s="204"/>
      <c r="I24" s="204"/>
      <c r="J24" s="26"/>
      <c r="K24" s="184"/>
      <c r="N24" s="24" t="s">
        <v>553</v>
      </c>
      <c r="O24" s="183" t="s">
        <v>554</v>
      </c>
      <c r="P24" s="183" t="s">
        <v>521</v>
      </c>
      <c r="Q24" s="24" t="s">
        <v>555</v>
      </c>
    </row>
    <row r="25" spans="1:23" ht="15" customHeight="1">
      <c r="A25" s="22"/>
      <c r="B25" s="204" t="s">
        <v>556</v>
      </c>
      <c r="C25" s="204" t="s">
        <v>557</v>
      </c>
      <c r="D25" s="204"/>
      <c r="E25" s="208"/>
      <c r="F25" s="208"/>
      <c r="G25" s="208"/>
      <c r="H25" s="208"/>
      <c r="I25" s="204"/>
      <c r="J25" s="26"/>
      <c r="K25" s="184"/>
      <c r="N25" s="24" t="s">
        <v>553</v>
      </c>
      <c r="O25" s="183" t="s">
        <v>274</v>
      </c>
      <c r="P25" s="183" t="s">
        <v>521</v>
      </c>
      <c r="Q25" s="24" t="s">
        <v>558</v>
      </c>
    </row>
    <row r="26" spans="1:23" ht="15" customHeight="1">
      <c r="A26" s="22"/>
      <c r="B26" s="204"/>
      <c r="C26" s="204"/>
      <c r="D26" s="204"/>
      <c r="E26" s="208"/>
      <c r="F26" s="208"/>
      <c r="G26" s="208"/>
      <c r="H26" s="208"/>
      <c r="I26" s="204"/>
      <c r="J26" s="26"/>
      <c r="K26" s="184"/>
    </row>
    <row r="27" spans="1:23" ht="15" customHeight="1">
      <c r="A27" s="22"/>
      <c r="B27" s="209" t="s">
        <v>523</v>
      </c>
      <c r="C27" s="210" t="s">
        <v>559</v>
      </c>
      <c r="D27" s="211" t="s">
        <v>560</v>
      </c>
      <c r="E27" s="210" t="s">
        <v>560</v>
      </c>
      <c r="F27" s="210"/>
      <c r="G27" s="211"/>
      <c r="H27" s="212"/>
      <c r="I27" s="204"/>
      <c r="J27" s="26"/>
      <c r="K27" s="184"/>
      <c r="N27" s="205" t="s">
        <v>561</v>
      </c>
      <c r="O27" s="183" t="s">
        <v>554</v>
      </c>
      <c r="P27" s="183" t="s">
        <v>521</v>
      </c>
      <c r="Q27" s="213">
        <v>0.4</v>
      </c>
      <c r="R27" s="183" t="s">
        <v>562</v>
      </c>
      <c r="S27" s="183" t="s">
        <v>522</v>
      </c>
      <c r="T27" s="183" t="s">
        <v>563</v>
      </c>
      <c r="U27" s="183" t="s">
        <v>529</v>
      </c>
      <c r="V27" s="183" t="s">
        <v>533</v>
      </c>
      <c r="W27" s="183" t="s">
        <v>527</v>
      </c>
    </row>
    <row r="28" spans="1:23" ht="15" customHeight="1">
      <c r="A28" s="22"/>
      <c r="B28" s="214" t="s">
        <v>564</v>
      </c>
      <c r="C28" s="215" t="s">
        <v>565</v>
      </c>
      <c r="D28" s="216" t="s">
        <v>566</v>
      </c>
      <c r="E28" s="215" t="s">
        <v>567</v>
      </c>
      <c r="F28" s="215" t="s">
        <v>531</v>
      </c>
      <c r="G28" s="216" t="s">
        <v>532</v>
      </c>
      <c r="H28" s="212"/>
      <c r="I28" s="204"/>
      <c r="J28" s="26"/>
      <c r="K28" s="184"/>
      <c r="P28" s="183" t="s">
        <v>521</v>
      </c>
      <c r="Q28" s="213">
        <v>0.4</v>
      </c>
      <c r="R28" s="183" t="s">
        <v>562</v>
      </c>
      <c r="S28" s="183" t="s">
        <v>522</v>
      </c>
      <c r="T28" s="206">
        <f>Q3-Q4</f>
        <v>185365</v>
      </c>
      <c r="U28" s="183" t="s">
        <v>529</v>
      </c>
      <c r="V28" s="206">
        <f>F12</f>
        <v>15890</v>
      </c>
      <c r="W28" s="183" t="s">
        <v>527</v>
      </c>
    </row>
    <row r="29" spans="1:23" ht="15" customHeight="1">
      <c r="A29" s="25"/>
      <c r="B29" s="214">
        <v>35550</v>
      </c>
      <c r="C29" s="215">
        <v>13200</v>
      </c>
      <c r="D29" s="216">
        <v>4340</v>
      </c>
      <c r="E29" s="215">
        <v>24210</v>
      </c>
      <c r="F29" s="215">
        <v>20080</v>
      </c>
      <c r="G29" s="216">
        <v>15000</v>
      </c>
      <c r="H29" s="212"/>
      <c r="I29" s="204"/>
      <c r="J29" s="26"/>
      <c r="K29" s="184"/>
      <c r="P29" s="183" t="s">
        <v>521</v>
      </c>
      <c r="Q29" s="206">
        <f>Q28*(T28-V28)</f>
        <v>67790</v>
      </c>
      <c r="T29" s="217"/>
    </row>
    <row r="30" spans="1:23" ht="15" customHeight="1">
      <c r="A30" s="25"/>
      <c r="B30" s="22"/>
      <c r="C30" s="22"/>
      <c r="D30" s="22"/>
      <c r="E30" s="22"/>
      <c r="F30" s="22"/>
      <c r="G30" s="22"/>
      <c r="H30" s="22"/>
      <c r="I30" s="22"/>
      <c r="J30" s="26"/>
    </row>
    <row r="31" spans="1:23" ht="15" customHeight="1">
      <c r="A31" s="29" t="s">
        <v>3</v>
      </c>
      <c r="B31" s="22" t="s">
        <v>568</v>
      </c>
      <c r="C31" s="22"/>
      <c r="D31" s="22"/>
      <c r="E31" s="22"/>
      <c r="F31" s="22"/>
      <c r="G31" s="22"/>
      <c r="H31" s="22"/>
      <c r="I31" s="22"/>
      <c r="J31" s="26"/>
      <c r="N31" s="205" t="s">
        <v>561</v>
      </c>
      <c r="O31" s="183" t="s">
        <v>274</v>
      </c>
      <c r="P31" s="183" t="s">
        <v>521</v>
      </c>
      <c r="Q31" s="213">
        <v>7.0000000000000007E-2</v>
      </c>
      <c r="R31" s="183" t="s">
        <v>562</v>
      </c>
      <c r="S31" s="183" t="s">
        <v>522</v>
      </c>
      <c r="T31" s="183" t="s">
        <v>563</v>
      </c>
      <c r="U31" s="183" t="s">
        <v>529</v>
      </c>
      <c r="V31" s="183" t="s">
        <v>533</v>
      </c>
      <c r="W31" s="183" t="s">
        <v>527</v>
      </c>
    </row>
    <row r="32" spans="1:23" ht="15" customHeight="1" thickBot="1">
      <c r="A32" s="9">
        <f>INDEX('Point Grid'!$C$8:$I$40,MATCH($A$1,'Point Grid'!$A$8:$A$3400),MATCH(A31,'Point Grid'!$C$7:$I$7,0))</f>
        <v>5</v>
      </c>
      <c r="B32" s="22"/>
      <c r="C32" s="22"/>
      <c r="D32" s="22"/>
      <c r="E32" s="22"/>
      <c r="F32" s="22"/>
      <c r="G32" s="22"/>
      <c r="H32" s="22"/>
      <c r="I32" s="22"/>
      <c r="J32" s="26"/>
      <c r="P32" s="183" t="s">
        <v>521</v>
      </c>
      <c r="Q32" s="213">
        <v>7.0000000000000007E-2</v>
      </c>
      <c r="R32" s="183" t="s">
        <v>562</v>
      </c>
      <c r="S32" s="183" t="s">
        <v>522</v>
      </c>
      <c r="T32" s="206">
        <f>T28</f>
        <v>185365</v>
      </c>
      <c r="U32" s="183" t="s">
        <v>529</v>
      </c>
      <c r="V32" s="206">
        <f>V28</f>
        <v>15890</v>
      </c>
      <c r="W32" s="183" t="s">
        <v>527</v>
      </c>
    </row>
    <row r="33" spans="1:26" ht="15" customHeight="1" thickBot="1">
      <c r="A33" s="5"/>
      <c r="B33" s="218" t="s">
        <v>569</v>
      </c>
      <c r="C33" s="219" t="s">
        <v>570</v>
      </c>
      <c r="D33" s="211"/>
      <c r="E33" s="204"/>
      <c r="F33" s="220" t="s">
        <v>571</v>
      </c>
      <c r="G33" s="204"/>
      <c r="H33" s="204"/>
      <c r="I33" s="204"/>
      <c r="J33" s="26"/>
      <c r="P33" s="183" t="s">
        <v>521</v>
      </c>
      <c r="Q33" s="206">
        <f>Q32*(T32-V32)</f>
        <v>11863.250000000002</v>
      </c>
    </row>
    <row r="34" spans="1:26" ht="15" customHeight="1">
      <c r="A34" s="25"/>
      <c r="B34" s="221" t="s">
        <v>572</v>
      </c>
      <c r="C34" s="222" t="s">
        <v>573</v>
      </c>
      <c r="D34" s="216" t="s">
        <v>574</v>
      </c>
      <c r="E34" s="204"/>
      <c r="F34" s="220" t="s">
        <v>575</v>
      </c>
      <c r="G34" s="204"/>
      <c r="H34" s="204"/>
      <c r="I34" s="204"/>
      <c r="J34" s="26"/>
    </row>
    <row r="35" spans="1:26" ht="15" customHeight="1">
      <c r="A35" s="25"/>
      <c r="B35" s="223" t="s">
        <v>576</v>
      </c>
      <c r="C35" s="212">
        <v>133280</v>
      </c>
      <c r="D35" s="224">
        <v>0.12</v>
      </c>
      <c r="E35" s="22"/>
      <c r="F35" s="22"/>
      <c r="G35" s="204"/>
      <c r="H35" s="204"/>
      <c r="I35" s="204"/>
      <c r="J35" s="26"/>
      <c r="N35" s="24" t="s">
        <v>577</v>
      </c>
    </row>
    <row r="36" spans="1:26" ht="15" customHeight="1">
      <c r="A36" s="25"/>
      <c r="B36" s="221" t="s">
        <v>578</v>
      </c>
      <c r="C36" s="215">
        <v>228690</v>
      </c>
      <c r="D36" s="225">
        <v>0.11</v>
      </c>
      <c r="E36" s="22"/>
      <c r="F36" s="204"/>
      <c r="G36" s="204"/>
      <c r="H36" s="204"/>
      <c r="I36" s="204"/>
      <c r="J36" s="26"/>
      <c r="Q36" s="183" t="s">
        <v>579</v>
      </c>
    </row>
    <row r="37" spans="1:26" ht="15" customHeight="1">
      <c r="A37" s="25"/>
      <c r="B37" s="204"/>
      <c r="C37" s="204"/>
      <c r="D37" s="204"/>
      <c r="E37" s="204"/>
      <c r="F37" s="204"/>
      <c r="G37" s="204"/>
      <c r="H37" s="204"/>
      <c r="I37" s="204"/>
      <c r="J37" s="26"/>
      <c r="O37" s="183" t="s">
        <v>580</v>
      </c>
      <c r="Q37" s="183" t="s">
        <v>581</v>
      </c>
    </row>
    <row r="38" spans="1:26" ht="15" customHeight="1">
      <c r="A38" s="25"/>
      <c r="B38" s="218" t="s">
        <v>569</v>
      </c>
      <c r="C38" s="209" t="s">
        <v>582</v>
      </c>
      <c r="D38" s="211"/>
      <c r="E38" s="209" t="s">
        <v>583</v>
      </c>
      <c r="F38" s="210" t="s">
        <v>584</v>
      </c>
      <c r="G38" s="211" t="s">
        <v>585</v>
      </c>
      <c r="H38" s="204"/>
      <c r="I38" s="204"/>
      <c r="J38" s="26"/>
      <c r="O38" s="145" t="s">
        <v>586</v>
      </c>
      <c r="P38" s="145" t="s">
        <v>587</v>
      </c>
      <c r="Q38" s="145" t="s">
        <v>587</v>
      </c>
    </row>
    <row r="39" spans="1:26" ht="15" customHeight="1">
      <c r="A39" s="25"/>
      <c r="B39" s="221" t="s">
        <v>572</v>
      </c>
      <c r="C39" s="226" t="s">
        <v>588</v>
      </c>
      <c r="D39" s="227" t="s">
        <v>574</v>
      </c>
      <c r="E39" s="226" t="s">
        <v>589</v>
      </c>
      <c r="F39" s="228" t="s">
        <v>589</v>
      </c>
      <c r="G39" s="227" t="s">
        <v>589</v>
      </c>
      <c r="H39" s="204"/>
      <c r="I39" s="229"/>
      <c r="J39" s="26"/>
      <c r="M39" s="183" t="s">
        <v>590</v>
      </c>
      <c r="N39" s="24" t="s">
        <v>591</v>
      </c>
      <c r="O39" s="103">
        <f>F13+F14</f>
        <v>56100</v>
      </c>
      <c r="P39" s="103">
        <f>Q29</f>
        <v>67790</v>
      </c>
      <c r="Q39" s="103">
        <f>MAX(0,O39-P39)</f>
        <v>0</v>
      </c>
    </row>
    <row r="40" spans="1:26" ht="15" customHeight="1">
      <c r="A40" s="25"/>
      <c r="B40" s="223" t="s">
        <v>576</v>
      </c>
      <c r="C40" s="230">
        <v>37800</v>
      </c>
      <c r="D40" s="231">
        <v>0.15</v>
      </c>
      <c r="E40" s="230">
        <v>196830</v>
      </c>
      <c r="F40" s="232">
        <v>40600</v>
      </c>
      <c r="G40" s="233">
        <v>25800</v>
      </c>
      <c r="H40" s="204"/>
      <c r="I40" s="229"/>
      <c r="J40" s="26"/>
      <c r="M40" s="183" t="s">
        <v>590</v>
      </c>
      <c r="N40" s="24" t="s">
        <v>274</v>
      </c>
      <c r="O40" s="103">
        <f>F14</f>
        <v>16500</v>
      </c>
      <c r="P40" s="103">
        <f>Q33</f>
        <v>11863.250000000002</v>
      </c>
      <c r="Q40" s="103">
        <f>MAX(0,O40-P40)</f>
        <v>4636.7499999999982</v>
      </c>
    </row>
    <row r="41" spans="1:26" ht="15" customHeight="1">
      <c r="A41" s="25"/>
      <c r="B41" s="221" t="s">
        <v>578</v>
      </c>
      <c r="C41" s="226">
        <v>171000</v>
      </c>
      <c r="D41" s="234">
        <v>0.13</v>
      </c>
      <c r="E41" s="226">
        <v>264160</v>
      </c>
      <c r="F41" s="228">
        <v>46460</v>
      </c>
      <c r="G41" s="227">
        <v>63840</v>
      </c>
      <c r="H41" s="204"/>
      <c r="I41" s="229"/>
      <c r="J41" s="26"/>
      <c r="Q41" s="235">
        <f>MAX(Q39:Q40)</f>
        <v>4636.7499999999982</v>
      </c>
      <c r="R41" s="76" t="s">
        <v>592</v>
      </c>
    </row>
    <row r="42" spans="1:26" ht="15" customHeight="1">
      <c r="A42" s="25"/>
      <c r="B42" s="22"/>
      <c r="C42" s="22"/>
      <c r="D42" s="22"/>
      <c r="E42" s="22"/>
      <c r="F42" s="22"/>
      <c r="G42" s="22"/>
      <c r="H42" s="22"/>
      <c r="I42" s="22"/>
      <c r="J42" s="26"/>
    </row>
    <row r="43" spans="1:26" ht="15" customHeight="1">
      <c r="A43" s="25"/>
      <c r="B43" s="229" t="s">
        <v>593</v>
      </c>
      <c r="C43" s="229"/>
      <c r="D43" s="229"/>
      <c r="E43" s="229"/>
      <c r="F43" s="229"/>
      <c r="G43" s="229"/>
      <c r="H43" s="229"/>
      <c r="I43" s="22"/>
      <c r="J43" s="26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ht="15" customHeight="1">
      <c r="A44" s="25"/>
      <c r="B44" s="229"/>
      <c r="C44" s="229"/>
      <c r="D44" s="229"/>
      <c r="E44" s="229"/>
      <c r="F44" s="229"/>
      <c r="G44" s="229"/>
      <c r="H44" s="229"/>
      <c r="I44" s="22"/>
      <c r="J44" s="26"/>
    </row>
    <row r="45" spans="1:26" ht="15" customHeight="1">
      <c r="A45" s="25"/>
      <c r="B45" s="229"/>
      <c r="C45" s="236" t="s">
        <v>594</v>
      </c>
      <c r="D45" s="237"/>
      <c r="E45" s="237"/>
      <c r="F45" s="237"/>
      <c r="G45" s="237"/>
      <c r="H45" s="238">
        <v>4680</v>
      </c>
      <c r="I45" s="22"/>
      <c r="J45" s="26"/>
      <c r="L45" s="183" t="s">
        <v>3</v>
      </c>
      <c r="M45" s="106" t="s">
        <v>595</v>
      </c>
    </row>
    <row r="46" spans="1:26" ht="15" customHeight="1">
      <c r="A46" s="25"/>
      <c r="B46" s="229"/>
      <c r="C46" s="239" t="s">
        <v>596</v>
      </c>
      <c r="D46" s="240"/>
      <c r="E46" s="240"/>
      <c r="F46" s="240"/>
      <c r="G46" s="240"/>
      <c r="H46" s="241">
        <v>14350</v>
      </c>
      <c r="I46" s="22"/>
      <c r="J46" s="26"/>
    </row>
    <row r="47" spans="1:26" ht="15" customHeight="1">
      <c r="A47" s="25"/>
      <c r="B47" s="229"/>
      <c r="C47" s="229"/>
      <c r="D47" s="229"/>
      <c r="E47" s="229"/>
      <c r="F47" s="229"/>
      <c r="G47" s="229"/>
      <c r="H47" s="229"/>
      <c r="I47" s="22"/>
      <c r="J47" s="26"/>
      <c r="M47" s="184" t="s">
        <v>597</v>
      </c>
      <c r="N47" s="184"/>
      <c r="O47" s="184"/>
      <c r="P47" s="184"/>
      <c r="Q47" s="242">
        <f>SUM(Q48:Q51)</f>
        <v>91932.85</v>
      </c>
      <c r="R47" s="186" t="s">
        <v>598</v>
      </c>
      <c r="S47" s="184"/>
      <c r="T47" s="184"/>
      <c r="U47" s="184"/>
    </row>
    <row r="48" spans="1:26" ht="15" customHeight="1">
      <c r="A48" s="25"/>
      <c r="B48" s="229" t="s">
        <v>599</v>
      </c>
      <c r="C48" s="229"/>
      <c r="D48" s="229"/>
      <c r="E48" s="229"/>
      <c r="F48" s="229"/>
      <c r="G48" s="229">
        <v>7800</v>
      </c>
      <c r="H48" s="22"/>
      <c r="I48" s="22"/>
      <c r="J48" s="26"/>
      <c r="M48" s="184" t="s">
        <v>600</v>
      </c>
      <c r="N48" s="184"/>
      <c r="O48" s="184"/>
      <c r="P48" s="184"/>
      <c r="Q48" s="185">
        <f>R75</f>
        <v>41149.5</v>
      </c>
      <c r="R48" s="186" t="s">
        <v>601</v>
      </c>
      <c r="S48" s="184"/>
      <c r="T48" s="184"/>
      <c r="U48" s="184"/>
    </row>
    <row r="49" spans="1:22" ht="15" customHeight="1">
      <c r="A49" s="25"/>
      <c r="B49" s="229" t="s">
        <v>602</v>
      </c>
      <c r="C49" s="229"/>
      <c r="D49" s="229"/>
      <c r="E49" s="229"/>
      <c r="F49" s="229"/>
      <c r="G49" s="229">
        <v>2080</v>
      </c>
      <c r="H49" s="22"/>
      <c r="I49" s="22"/>
      <c r="J49" s="26"/>
      <c r="M49" s="184" t="s">
        <v>603</v>
      </c>
      <c r="N49" s="184"/>
      <c r="O49" s="184"/>
      <c r="P49" s="184"/>
      <c r="Q49" s="185">
        <f>T84</f>
        <v>31753.35</v>
      </c>
      <c r="R49" s="186" t="s">
        <v>601</v>
      </c>
      <c r="S49" s="184"/>
      <c r="T49" s="184"/>
      <c r="U49" s="184"/>
    </row>
    <row r="50" spans="1:22" ht="15" customHeight="1">
      <c r="A50" s="25"/>
      <c r="B50" s="229" t="s">
        <v>604</v>
      </c>
      <c r="C50" s="229"/>
      <c r="D50" s="229"/>
      <c r="E50" s="229"/>
      <c r="F50" s="229"/>
      <c r="G50" s="229">
        <v>11565</v>
      </c>
      <c r="H50" s="22"/>
      <c r="I50" s="22"/>
      <c r="J50" s="26"/>
      <c r="M50" s="184" t="s">
        <v>605</v>
      </c>
      <c r="N50" s="184"/>
      <c r="O50" s="184"/>
      <c r="P50" s="184"/>
      <c r="Q50" s="185">
        <f>H45</f>
        <v>4680</v>
      </c>
      <c r="R50" s="186" t="s">
        <v>606</v>
      </c>
      <c r="S50" s="184"/>
      <c r="T50" s="184"/>
      <c r="U50" s="184"/>
    </row>
    <row r="51" spans="1:22" ht="15" customHeight="1">
      <c r="A51" s="25"/>
      <c r="B51" s="229" t="s">
        <v>607</v>
      </c>
      <c r="C51" s="229"/>
      <c r="D51" s="229"/>
      <c r="E51" s="229"/>
      <c r="F51" s="229"/>
      <c r="G51" s="229">
        <v>1310</v>
      </c>
      <c r="H51" s="22"/>
      <c r="I51" s="22"/>
      <c r="J51" s="26"/>
      <c r="M51" s="184" t="s">
        <v>608</v>
      </c>
      <c r="N51" s="184"/>
      <c r="O51" s="184"/>
      <c r="P51" s="184"/>
      <c r="Q51" s="185">
        <f>H46</f>
        <v>14350</v>
      </c>
      <c r="R51" s="186" t="s">
        <v>606</v>
      </c>
      <c r="S51" s="184"/>
      <c r="T51" s="184"/>
      <c r="U51" s="184"/>
    </row>
    <row r="52" spans="1:22" ht="15" customHeight="1">
      <c r="A52" s="25"/>
      <c r="B52" s="229" t="s">
        <v>609</v>
      </c>
      <c r="C52" s="229"/>
      <c r="D52" s="229"/>
      <c r="E52" s="229"/>
      <c r="F52" s="229"/>
      <c r="G52" s="229">
        <v>13013</v>
      </c>
      <c r="H52" s="22"/>
      <c r="I52" s="22"/>
      <c r="J52" s="26"/>
      <c r="M52" s="184"/>
      <c r="N52" s="184"/>
      <c r="O52" s="184"/>
      <c r="P52" s="184"/>
      <c r="Q52" s="184"/>
      <c r="R52" s="184"/>
      <c r="S52" s="184"/>
      <c r="T52" s="184"/>
      <c r="U52" s="184"/>
    </row>
    <row r="53" spans="1:22" ht="15" customHeight="1">
      <c r="A53" s="25"/>
      <c r="B53" s="229"/>
      <c r="C53" s="229"/>
      <c r="D53" s="229"/>
      <c r="E53" s="229"/>
      <c r="F53" s="229"/>
      <c r="G53" s="229"/>
      <c r="H53" s="229"/>
      <c r="I53" s="22"/>
      <c r="J53" s="26"/>
      <c r="M53" s="184" t="s">
        <v>610</v>
      </c>
      <c r="N53" s="184"/>
      <c r="O53" s="184"/>
      <c r="P53" s="184"/>
      <c r="Q53" s="242">
        <f>SUM(Q54:Q57)</f>
        <v>22755</v>
      </c>
      <c r="R53" s="186" t="s">
        <v>611</v>
      </c>
      <c r="S53" s="184"/>
      <c r="T53" s="184"/>
      <c r="U53" s="184"/>
    </row>
    <row r="54" spans="1:22" ht="15" customHeight="1">
      <c r="A54" s="25"/>
      <c r="B54" s="229" t="s">
        <v>612</v>
      </c>
      <c r="C54" s="229"/>
      <c r="D54" s="229"/>
      <c r="E54" s="229"/>
      <c r="F54" s="229"/>
      <c r="G54" s="229"/>
      <c r="H54" s="229"/>
      <c r="I54" s="22"/>
      <c r="J54" s="26"/>
      <c r="M54" s="243" t="s">
        <v>613</v>
      </c>
      <c r="N54" s="184"/>
      <c r="O54" s="184"/>
      <c r="P54" s="184"/>
      <c r="Q54" s="185">
        <f>G48</f>
        <v>7800</v>
      </c>
      <c r="R54" s="186" t="s">
        <v>606</v>
      </c>
      <c r="S54" s="184"/>
      <c r="T54" s="184"/>
      <c r="U54" s="184"/>
    </row>
    <row r="55" spans="1:22" ht="15" customHeight="1">
      <c r="A55" s="25"/>
      <c r="B55" s="229"/>
      <c r="C55" s="229"/>
      <c r="D55" s="229"/>
      <c r="E55" s="229"/>
      <c r="F55" s="229"/>
      <c r="G55" s="229"/>
      <c r="H55" s="229"/>
      <c r="I55" s="22"/>
      <c r="J55" s="26"/>
      <c r="M55" s="243" t="s">
        <v>614</v>
      </c>
      <c r="N55" s="184"/>
      <c r="O55" s="184"/>
      <c r="P55" s="184"/>
      <c r="Q55" s="185">
        <f>G49</f>
        <v>2080</v>
      </c>
      <c r="R55" s="186" t="s">
        <v>606</v>
      </c>
      <c r="S55" s="184"/>
      <c r="T55" s="184"/>
      <c r="U55" s="184"/>
    </row>
    <row r="56" spans="1:22" ht="15" customHeight="1">
      <c r="A56" s="25"/>
      <c r="B56" s="229"/>
      <c r="C56" s="229" t="s">
        <v>615</v>
      </c>
      <c r="D56" s="229" t="s">
        <v>616</v>
      </c>
      <c r="E56" s="229"/>
      <c r="F56" s="229"/>
      <c r="G56" s="229"/>
      <c r="H56" s="229"/>
      <c r="I56" s="22"/>
      <c r="J56" s="26"/>
      <c r="M56" s="243" t="s">
        <v>617</v>
      </c>
      <c r="N56" s="184"/>
      <c r="O56" s="184"/>
      <c r="P56" s="184"/>
      <c r="Q56" s="185">
        <f>G50</f>
        <v>11565</v>
      </c>
      <c r="R56" s="186" t="s">
        <v>606</v>
      </c>
      <c r="S56" s="184"/>
      <c r="T56" s="184"/>
      <c r="U56" s="184"/>
    </row>
    <row r="57" spans="1:22" ht="15" customHeight="1">
      <c r="A57" s="25"/>
      <c r="B57" s="229"/>
      <c r="C57" s="229" t="s">
        <v>618</v>
      </c>
      <c r="D57" s="229" t="s">
        <v>619</v>
      </c>
      <c r="E57" s="229"/>
      <c r="F57" s="229"/>
      <c r="G57" s="229"/>
      <c r="H57" s="229"/>
      <c r="I57" s="22"/>
      <c r="J57" s="26"/>
      <c r="M57" s="243" t="s">
        <v>620</v>
      </c>
      <c r="N57" s="184"/>
      <c r="O57" s="184"/>
      <c r="P57" s="184"/>
      <c r="Q57" s="185">
        <f>G51</f>
        <v>1310</v>
      </c>
      <c r="R57" s="186" t="s">
        <v>606</v>
      </c>
      <c r="S57" s="184"/>
      <c r="T57" s="184"/>
      <c r="U57" s="184"/>
    </row>
    <row r="58" spans="1:22" ht="15" customHeight="1">
      <c r="A58" s="25"/>
      <c r="B58" s="229"/>
      <c r="C58" s="229"/>
      <c r="D58" s="229"/>
      <c r="E58" s="229"/>
      <c r="F58" s="229"/>
      <c r="G58" s="229"/>
      <c r="H58" s="229"/>
      <c r="I58" s="22"/>
      <c r="J58" s="26"/>
      <c r="M58" s="244"/>
      <c r="N58" s="244"/>
      <c r="O58" s="244"/>
      <c r="P58" s="244"/>
      <c r="Q58" s="244"/>
      <c r="R58" s="184"/>
      <c r="S58" s="184"/>
      <c r="T58" s="184"/>
      <c r="U58" s="184"/>
    </row>
    <row r="59" spans="1:22" ht="15" customHeight="1">
      <c r="A59" s="25"/>
      <c r="B59" s="229"/>
      <c r="C59" s="245" t="s">
        <v>583</v>
      </c>
      <c r="D59" s="246" t="s">
        <v>584</v>
      </c>
      <c r="E59" s="247" t="s">
        <v>585</v>
      </c>
      <c r="F59" s="246" t="s">
        <v>621</v>
      </c>
      <c r="G59" s="245" t="s">
        <v>615</v>
      </c>
      <c r="H59" s="247" t="s">
        <v>618</v>
      </c>
      <c r="I59" s="22"/>
      <c r="J59" s="26"/>
      <c r="M59" s="184" t="s">
        <v>622</v>
      </c>
      <c r="N59" s="184"/>
      <c r="O59" s="184"/>
      <c r="P59" s="184"/>
      <c r="Q59" s="242">
        <f>G52</f>
        <v>13013</v>
      </c>
      <c r="R59" s="186" t="s">
        <v>606</v>
      </c>
      <c r="S59" s="184"/>
      <c r="T59" s="184"/>
      <c r="U59" s="184"/>
    </row>
    <row r="60" spans="1:22" ht="15" customHeight="1">
      <c r="A60" s="25"/>
      <c r="B60" s="229"/>
      <c r="C60" s="226">
        <v>464350</v>
      </c>
      <c r="D60" s="228">
        <v>125560</v>
      </c>
      <c r="E60" s="227">
        <v>100320</v>
      </c>
      <c r="F60" s="248">
        <v>0.22</v>
      </c>
      <c r="G60" s="226">
        <v>0</v>
      </c>
      <c r="H60" s="227">
        <v>0</v>
      </c>
      <c r="I60" s="22"/>
      <c r="J60" s="26"/>
      <c r="M60" s="185"/>
      <c r="N60" s="184"/>
      <c r="O60" s="184"/>
      <c r="P60" s="184"/>
      <c r="Q60" s="184"/>
      <c r="R60" s="184"/>
      <c r="S60" s="184"/>
      <c r="T60" s="184"/>
      <c r="U60" s="184"/>
    </row>
    <row r="61" spans="1:22" ht="15" customHeight="1">
      <c r="A61" s="25"/>
      <c r="B61" s="229"/>
      <c r="C61" s="22"/>
      <c r="D61" s="22"/>
      <c r="E61" s="22"/>
      <c r="F61" s="229"/>
      <c r="G61" s="229"/>
      <c r="H61" s="229"/>
      <c r="I61" s="22"/>
      <c r="J61" s="26"/>
      <c r="M61" s="184" t="s">
        <v>623</v>
      </c>
      <c r="N61" s="184"/>
      <c r="O61" s="184"/>
      <c r="P61" s="184"/>
      <c r="Q61" s="242">
        <f>P129</f>
        <v>27410.388643442624</v>
      </c>
      <c r="R61" s="186" t="s">
        <v>601</v>
      </c>
      <c r="S61" s="184"/>
      <c r="T61" s="184"/>
      <c r="U61" s="184"/>
    </row>
    <row r="62" spans="1:22" ht="15" customHeight="1">
      <c r="A62" s="25"/>
      <c r="B62" s="229"/>
      <c r="C62" s="249"/>
      <c r="D62" s="250"/>
      <c r="E62" s="250"/>
      <c r="F62" s="251" t="s">
        <v>624</v>
      </c>
      <c r="G62" s="252"/>
      <c r="H62" s="229"/>
      <c r="I62" s="22"/>
      <c r="J62" s="26"/>
      <c r="M62" s="184"/>
      <c r="N62" s="184"/>
      <c r="O62" s="184"/>
      <c r="P62" s="184"/>
      <c r="Q62" s="184"/>
      <c r="R62" s="184"/>
      <c r="S62" s="184"/>
      <c r="T62" s="184"/>
      <c r="U62" s="184"/>
    </row>
    <row r="63" spans="1:22" ht="15" customHeight="1">
      <c r="A63" s="25"/>
      <c r="B63" s="229"/>
      <c r="C63" s="236" t="s">
        <v>625</v>
      </c>
      <c r="D63" s="237"/>
      <c r="E63" s="237"/>
      <c r="F63" s="253">
        <v>2.5000000000000001E-2</v>
      </c>
      <c r="G63" s="254"/>
      <c r="H63" s="229"/>
      <c r="I63" s="22"/>
      <c r="J63" s="26"/>
      <c r="M63" s="184" t="s">
        <v>626</v>
      </c>
      <c r="N63" s="184"/>
      <c r="O63" s="184"/>
      <c r="P63" s="184"/>
      <c r="Q63" s="185">
        <f>P144</f>
        <v>13598.909122894416</v>
      </c>
      <c r="R63" s="186" t="s">
        <v>601</v>
      </c>
      <c r="S63" s="184"/>
      <c r="T63" s="184"/>
      <c r="U63" s="184"/>
    </row>
    <row r="64" spans="1:22" ht="15" customHeight="1">
      <c r="A64" s="25"/>
      <c r="B64" s="229"/>
      <c r="C64" s="255" t="s">
        <v>627</v>
      </c>
      <c r="D64" s="256"/>
      <c r="E64" s="256"/>
      <c r="F64" s="257">
        <v>1.7500000000000002E-2</v>
      </c>
      <c r="G64" s="258"/>
      <c r="H64" s="229"/>
      <c r="I64" s="22"/>
      <c r="J64" s="26"/>
      <c r="M64" s="184" t="s">
        <v>628</v>
      </c>
      <c r="N64" s="184"/>
      <c r="O64" s="184"/>
      <c r="P64" s="184"/>
      <c r="Q64" s="190">
        <f>(Q47+Q53+Q59+Q61-Q63)/1.5</f>
        <v>94341.553013698824</v>
      </c>
      <c r="R64" s="259" t="s">
        <v>521</v>
      </c>
      <c r="S64" s="184" t="s">
        <v>629</v>
      </c>
      <c r="T64" s="184"/>
      <c r="U64" s="184"/>
      <c r="V64" s="76" t="s">
        <v>630</v>
      </c>
    </row>
    <row r="65" spans="1:22" ht="15" customHeight="1">
      <c r="A65" s="25"/>
      <c r="B65" s="229"/>
      <c r="C65" s="239" t="s">
        <v>631</v>
      </c>
      <c r="D65" s="240"/>
      <c r="E65" s="240"/>
      <c r="F65" s="260">
        <v>2.5000000000000001E-2</v>
      </c>
      <c r="G65" s="261"/>
      <c r="H65" s="229"/>
      <c r="I65" s="22"/>
      <c r="J65" s="26"/>
      <c r="M65" s="184"/>
      <c r="N65" s="184"/>
      <c r="O65" s="184"/>
      <c r="P65" s="184"/>
      <c r="Q65" s="184"/>
    </row>
    <row r="66" spans="1:22" ht="15" customHeight="1">
      <c r="A66" s="25"/>
      <c r="B66" s="229"/>
      <c r="C66" s="236" t="s">
        <v>632</v>
      </c>
      <c r="D66" s="237"/>
      <c r="E66" s="237"/>
      <c r="F66" s="253">
        <v>7.4999999999999997E-3</v>
      </c>
      <c r="G66" s="254"/>
      <c r="H66" s="229"/>
      <c r="I66" s="22"/>
      <c r="J66" s="26"/>
      <c r="M66" s="106" t="s">
        <v>633</v>
      </c>
    </row>
    <row r="67" spans="1:22" ht="15" customHeight="1">
      <c r="A67" s="25"/>
      <c r="B67" s="229"/>
      <c r="C67" s="239" t="s">
        <v>634</v>
      </c>
      <c r="D67" s="240"/>
      <c r="E67" s="240"/>
      <c r="F67" s="260">
        <v>7.4999999999999997E-3</v>
      </c>
      <c r="G67" s="261"/>
      <c r="H67" s="229"/>
      <c r="I67" s="22"/>
      <c r="J67" s="26"/>
    </row>
    <row r="68" spans="1:22" ht="15" customHeight="1">
      <c r="A68" s="25"/>
      <c r="B68" s="229"/>
      <c r="C68" s="255" t="s">
        <v>635</v>
      </c>
      <c r="D68" s="256"/>
      <c r="E68" s="256"/>
      <c r="F68" s="257">
        <v>2.5000000000000001E-2</v>
      </c>
      <c r="G68" s="258"/>
      <c r="H68" s="229"/>
      <c r="I68" s="22"/>
      <c r="J68" s="26"/>
      <c r="M68" s="193" t="s">
        <v>600</v>
      </c>
      <c r="N68" s="194"/>
      <c r="O68" s="194"/>
      <c r="P68" s="195"/>
      <c r="Q68" s="183" t="s">
        <v>636</v>
      </c>
      <c r="R68" s="101" t="s">
        <v>637</v>
      </c>
    </row>
    <row r="69" spans="1:22" ht="15" customHeight="1">
      <c r="A69" s="25"/>
      <c r="B69" s="229"/>
      <c r="C69" s="239" t="s">
        <v>638</v>
      </c>
      <c r="D69" s="240"/>
      <c r="E69" s="240"/>
      <c r="F69" s="260">
        <v>8.5000000000000006E-2</v>
      </c>
      <c r="G69" s="261"/>
      <c r="H69" s="229"/>
      <c r="I69" s="22"/>
      <c r="J69" s="26"/>
    </row>
    <row r="70" spans="1:22" ht="15" customHeight="1">
      <c r="A70" s="25"/>
      <c r="B70" s="229"/>
      <c r="C70" s="229"/>
      <c r="D70" s="229"/>
      <c r="E70" s="229"/>
      <c r="F70" s="229"/>
      <c r="G70" s="229"/>
      <c r="H70" s="229"/>
      <c r="I70" s="22"/>
      <c r="J70" s="26"/>
      <c r="P70" s="205" t="s">
        <v>639</v>
      </c>
      <c r="Q70" s="183" t="s">
        <v>521</v>
      </c>
      <c r="R70" s="24" t="s">
        <v>640</v>
      </c>
      <c r="V70" s="24" t="s">
        <v>641</v>
      </c>
    </row>
    <row r="71" spans="1:22" ht="15" customHeight="1">
      <c r="A71" s="25"/>
      <c r="B71" s="229"/>
      <c r="C71" s="262" t="s">
        <v>642</v>
      </c>
      <c r="D71" s="229"/>
      <c r="E71" s="229"/>
      <c r="F71" s="229"/>
      <c r="G71" s="229"/>
      <c r="H71" s="229"/>
      <c r="I71" s="22"/>
      <c r="J71" s="26"/>
      <c r="Q71" s="183"/>
    </row>
    <row r="72" spans="1:22" ht="15" customHeight="1">
      <c r="A72" s="25"/>
      <c r="B72" s="229"/>
      <c r="C72" s="262" t="s">
        <v>643</v>
      </c>
      <c r="D72" s="229"/>
      <c r="E72" s="229"/>
      <c r="F72" s="229"/>
      <c r="G72" s="229"/>
      <c r="H72" s="229"/>
      <c r="I72" s="22"/>
      <c r="J72" s="26"/>
      <c r="Q72" s="183" t="s">
        <v>521</v>
      </c>
      <c r="R72" s="206">
        <f>C35</f>
        <v>133280</v>
      </c>
      <c r="S72" s="183" t="s">
        <v>562</v>
      </c>
      <c r="T72" s="213">
        <f>D35</f>
        <v>0.12</v>
      </c>
      <c r="V72" s="24" t="s">
        <v>644</v>
      </c>
    </row>
    <row r="73" spans="1:22" ht="15" customHeight="1">
      <c r="A73" s="25"/>
      <c r="B73" s="229"/>
      <c r="C73" s="229"/>
      <c r="D73" s="229"/>
      <c r="E73" s="229"/>
      <c r="F73" s="229"/>
      <c r="G73" s="229"/>
      <c r="H73" s="229"/>
      <c r="I73" s="229"/>
      <c r="J73" s="26"/>
      <c r="Q73" s="183" t="s">
        <v>524</v>
      </c>
      <c r="R73" s="206">
        <f>C36</f>
        <v>228690</v>
      </c>
      <c r="S73" s="183" t="s">
        <v>562</v>
      </c>
      <c r="T73" s="213">
        <f>D36</f>
        <v>0.11</v>
      </c>
      <c r="V73" s="24" t="s">
        <v>645</v>
      </c>
    </row>
    <row r="74" spans="1:22" ht="15" customHeight="1">
      <c r="A74" s="29" t="s">
        <v>4</v>
      </c>
      <c r="B74" s="229" t="s">
        <v>646</v>
      </c>
      <c r="C74" s="229"/>
      <c r="D74" s="229"/>
      <c r="E74" s="229"/>
      <c r="F74" s="229"/>
      <c r="G74" s="229"/>
      <c r="H74" s="229"/>
      <c r="I74" s="229"/>
      <c r="J74" s="26"/>
      <c r="R74" s="206"/>
    </row>
    <row r="75" spans="1:22" ht="15" customHeight="1" thickBot="1">
      <c r="A75" s="9">
        <f>INDEX('Point Grid'!$C$8:$I$40,MATCH($A$1,'Point Grid'!$A$8:$A$3400),MATCH(A74,'Point Grid'!$C$7:$I$7,0))</f>
        <v>0.5</v>
      </c>
      <c r="B75" s="229" t="s">
        <v>647</v>
      </c>
      <c r="C75" s="229"/>
      <c r="D75" s="229"/>
      <c r="E75" s="229"/>
      <c r="F75" s="229"/>
      <c r="G75" s="229"/>
      <c r="H75" s="229"/>
      <c r="I75" s="229"/>
      <c r="J75" s="26"/>
      <c r="Q75" s="183" t="s">
        <v>521</v>
      </c>
      <c r="R75" s="207">
        <f>R72*T72+R73*T73</f>
        <v>41149.5</v>
      </c>
      <c r="S75" s="76" t="s">
        <v>648</v>
      </c>
    </row>
    <row r="76" spans="1:22" ht="15" customHeight="1" thickBot="1">
      <c r="A76" s="5"/>
      <c r="B76" s="229"/>
      <c r="C76" s="229"/>
      <c r="D76" s="229"/>
      <c r="E76" s="229"/>
      <c r="F76" s="229"/>
      <c r="G76" s="229"/>
      <c r="H76" s="229"/>
      <c r="I76" s="229"/>
      <c r="J76" s="26"/>
    </row>
    <row r="77" spans="1:22" ht="15" customHeight="1">
      <c r="A77" s="25"/>
      <c r="B77" s="229"/>
      <c r="C77" s="229"/>
      <c r="D77" s="229"/>
      <c r="E77" s="229"/>
      <c r="F77" s="229"/>
      <c r="G77" s="229"/>
      <c r="H77" s="229"/>
      <c r="I77" s="229"/>
      <c r="J77" s="26"/>
      <c r="M77" s="193" t="s">
        <v>603</v>
      </c>
      <c r="N77" s="194"/>
      <c r="O77" s="194"/>
      <c r="P77" s="195"/>
      <c r="Q77" s="183" t="s">
        <v>636</v>
      </c>
      <c r="R77" s="101" t="s">
        <v>637</v>
      </c>
    </row>
    <row r="78" spans="1:22" ht="15" customHeight="1" thickBot="1">
      <c r="A78" s="263"/>
      <c r="B78" s="263"/>
      <c r="C78" s="263"/>
      <c r="D78" s="263"/>
      <c r="E78" s="263"/>
      <c r="F78" s="263"/>
      <c r="G78" s="263"/>
      <c r="H78" s="263"/>
      <c r="I78" s="263"/>
      <c r="J78" s="75"/>
    </row>
    <row r="79" spans="1:22" ht="15" customHeight="1">
      <c r="A79"/>
      <c r="B79"/>
      <c r="C79"/>
      <c r="D79"/>
      <c r="E79"/>
      <c r="F79"/>
      <c r="G79"/>
      <c r="H79"/>
      <c r="I79"/>
      <c r="J79"/>
      <c r="N79" s="110"/>
      <c r="O79" s="264" t="s">
        <v>649</v>
      </c>
      <c r="P79" s="265" t="s">
        <v>650</v>
      </c>
      <c r="Q79" s="264" t="s">
        <v>651</v>
      </c>
      <c r="R79" s="264" t="s">
        <v>652</v>
      </c>
      <c r="S79" s="265" t="s">
        <v>653</v>
      </c>
      <c r="T79" s="264" t="s">
        <v>654</v>
      </c>
    </row>
    <row r="80" spans="1:22" ht="15" customHeight="1">
      <c r="A80"/>
      <c r="B80"/>
      <c r="C80"/>
      <c r="D80"/>
      <c r="E80"/>
      <c r="F80"/>
      <c r="G80"/>
      <c r="H80"/>
      <c r="I80"/>
      <c r="J80"/>
      <c r="N80" s="266" t="s">
        <v>569</v>
      </c>
      <c r="O80" s="267" t="s">
        <v>582</v>
      </c>
      <c r="P80" s="266"/>
      <c r="Q80" s="183"/>
      <c r="R80" s="183" t="s">
        <v>655</v>
      </c>
      <c r="S80" s="268" t="s">
        <v>656</v>
      </c>
      <c r="T80" s="24" t="s">
        <v>657</v>
      </c>
    </row>
    <row r="81" spans="1:22" ht="15" customHeight="1">
      <c r="A81"/>
      <c r="B81"/>
      <c r="C81"/>
      <c r="D81"/>
      <c r="E81"/>
      <c r="F81"/>
      <c r="G81"/>
      <c r="H81"/>
      <c r="I81"/>
      <c r="J81"/>
      <c r="N81" s="269" t="s">
        <v>572</v>
      </c>
      <c r="O81" s="270" t="s">
        <v>588</v>
      </c>
      <c r="P81" s="271" t="s">
        <v>574</v>
      </c>
      <c r="Q81" s="145" t="s">
        <v>655</v>
      </c>
      <c r="R81" s="145" t="s">
        <v>658</v>
      </c>
      <c r="S81" s="272" t="s">
        <v>659</v>
      </c>
      <c r="T81" s="108"/>
    </row>
    <row r="82" spans="1:22" ht="15" customHeight="1">
      <c r="A82"/>
      <c r="B82"/>
      <c r="C82"/>
      <c r="D82"/>
      <c r="E82"/>
      <c r="F82"/>
      <c r="G82"/>
      <c r="H82"/>
      <c r="I82"/>
      <c r="J82"/>
      <c r="N82" s="266" t="s">
        <v>576</v>
      </c>
      <c r="O82" s="273">
        <f>C40</f>
        <v>37800</v>
      </c>
      <c r="P82" s="274">
        <f t="shared" ref="P82:P83" si="0">D40</f>
        <v>0.15</v>
      </c>
      <c r="Q82" s="206">
        <f>E40+F40-G40</f>
        <v>211630</v>
      </c>
      <c r="R82" s="206">
        <f>Q82*0.3</f>
        <v>63489</v>
      </c>
      <c r="S82" s="276">
        <f>MAX(O82,R82)</f>
        <v>63489</v>
      </c>
      <c r="T82" s="275">
        <f>P82*S82</f>
        <v>9523.35</v>
      </c>
    </row>
    <row r="83" spans="1:22" ht="15" customHeight="1">
      <c r="A83"/>
      <c r="B83"/>
      <c r="C83"/>
      <c r="D83"/>
      <c r="E83"/>
      <c r="F83"/>
      <c r="G83"/>
      <c r="H83"/>
      <c r="I83"/>
      <c r="J83"/>
      <c r="N83" s="266" t="s">
        <v>578</v>
      </c>
      <c r="O83" s="273">
        <f t="shared" ref="O83" si="1">C41</f>
        <v>171000</v>
      </c>
      <c r="P83" s="274">
        <f t="shared" si="0"/>
        <v>0.13</v>
      </c>
      <c r="Q83" s="206">
        <f>E41+F41-G41</f>
        <v>246780</v>
      </c>
      <c r="R83" s="206">
        <f>Q83*0.3</f>
        <v>74034</v>
      </c>
      <c r="S83" s="276">
        <f>MAX(O83,R83)</f>
        <v>171000</v>
      </c>
      <c r="T83" s="275">
        <f>P83*S83</f>
        <v>22230</v>
      </c>
    </row>
    <row r="84" spans="1:22" ht="15" customHeight="1">
      <c r="A84"/>
      <c r="B84"/>
      <c r="C84"/>
      <c r="D84"/>
      <c r="E84"/>
      <c r="F84"/>
      <c r="G84"/>
      <c r="H84"/>
      <c r="I84"/>
      <c r="J84"/>
      <c r="N84" s="141"/>
      <c r="O84" s="139"/>
      <c r="P84" s="141"/>
      <c r="Q84" s="139"/>
      <c r="R84" s="139"/>
      <c r="S84" s="141"/>
      <c r="T84" s="235">
        <f>SUM(T82:T83)</f>
        <v>31753.35</v>
      </c>
      <c r="U84" s="76" t="s">
        <v>660</v>
      </c>
    </row>
    <row r="85" spans="1:22" ht="15" customHeight="1">
      <c r="A85"/>
      <c r="B85"/>
      <c r="C85"/>
      <c r="D85"/>
      <c r="E85"/>
      <c r="F85"/>
      <c r="G85"/>
      <c r="H85"/>
      <c r="I85"/>
      <c r="J85"/>
    </row>
    <row r="86" spans="1:22" ht="15" customHeight="1">
      <c r="A86"/>
      <c r="B86"/>
      <c r="C86"/>
      <c r="D86"/>
      <c r="E86"/>
      <c r="F86"/>
      <c r="G86"/>
      <c r="H86"/>
      <c r="I86"/>
      <c r="J86"/>
      <c r="M86" s="193" t="s">
        <v>623</v>
      </c>
      <c r="N86" s="277"/>
      <c r="O86" s="277"/>
      <c r="P86" s="278"/>
      <c r="Q86" s="183"/>
      <c r="R86" s="101"/>
    </row>
    <row r="87" spans="1:22" ht="15" customHeight="1">
      <c r="A87"/>
      <c r="B87"/>
      <c r="C87"/>
      <c r="D87"/>
      <c r="E87"/>
      <c r="F87"/>
      <c r="G87"/>
      <c r="H87"/>
      <c r="I87"/>
      <c r="J87"/>
    </row>
    <row r="88" spans="1:22" ht="15" customHeight="1">
      <c r="A88"/>
      <c r="B88"/>
      <c r="C88"/>
      <c r="D88"/>
      <c r="E88"/>
      <c r="F88"/>
      <c r="G88"/>
      <c r="H88"/>
      <c r="I88"/>
      <c r="J88"/>
      <c r="N88" s="24" t="s">
        <v>661</v>
      </c>
    </row>
    <row r="89" spans="1:22" ht="15" customHeight="1">
      <c r="A89"/>
      <c r="B89"/>
      <c r="C89"/>
      <c r="D89"/>
      <c r="E89"/>
      <c r="F89"/>
      <c r="G89"/>
      <c r="H89"/>
      <c r="I89"/>
      <c r="J89"/>
    </row>
    <row r="90" spans="1:22" ht="15" customHeight="1">
      <c r="A90"/>
      <c r="B90"/>
      <c r="C90"/>
      <c r="D90"/>
      <c r="E90"/>
      <c r="F90"/>
      <c r="G90"/>
      <c r="H90"/>
      <c r="I90"/>
      <c r="J90"/>
      <c r="N90" s="183" t="s">
        <v>662</v>
      </c>
      <c r="O90" s="183" t="s">
        <v>521</v>
      </c>
      <c r="P90" s="24" t="s">
        <v>663</v>
      </c>
      <c r="R90" s="279" t="s">
        <v>664</v>
      </c>
      <c r="S90" s="24" t="s">
        <v>665</v>
      </c>
    </row>
    <row r="91" spans="1:22" ht="15" customHeight="1">
      <c r="A91"/>
      <c r="B91"/>
      <c r="C91"/>
      <c r="D91"/>
      <c r="E91"/>
      <c r="F91"/>
      <c r="G91"/>
      <c r="H91"/>
      <c r="I91"/>
      <c r="J91"/>
      <c r="O91" s="183" t="s">
        <v>521</v>
      </c>
      <c r="P91" s="24" t="s">
        <v>666</v>
      </c>
      <c r="R91" s="183" t="s">
        <v>524</v>
      </c>
      <c r="S91" s="24" t="s">
        <v>667</v>
      </c>
      <c r="U91" s="183" t="s">
        <v>524</v>
      </c>
      <c r="V91" s="24" t="s">
        <v>668</v>
      </c>
    </row>
    <row r="92" spans="1:22" ht="15" customHeight="1">
      <c r="A92"/>
      <c r="B92"/>
      <c r="C92"/>
      <c r="D92"/>
      <c r="E92"/>
      <c r="F92"/>
      <c r="G92"/>
      <c r="H92"/>
      <c r="I92"/>
      <c r="J92"/>
      <c r="O92" s="183" t="s">
        <v>521</v>
      </c>
      <c r="P92" s="103">
        <f>Q47</f>
        <v>91932.85</v>
      </c>
      <c r="R92" s="183" t="s">
        <v>524</v>
      </c>
      <c r="S92" s="103">
        <f>Q53</f>
        <v>22755</v>
      </c>
      <c r="U92" s="183" t="s">
        <v>524</v>
      </c>
      <c r="V92" s="103">
        <f>Q59</f>
        <v>13013</v>
      </c>
    </row>
    <row r="93" spans="1:22">
      <c r="A93"/>
      <c r="B93"/>
      <c r="C93"/>
      <c r="D93"/>
      <c r="E93"/>
      <c r="F93"/>
      <c r="G93"/>
      <c r="H93"/>
      <c r="I93"/>
      <c r="J93"/>
      <c r="O93" s="183" t="s">
        <v>521</v>
      </c>
      <c r="P93" s="280">
        <f>P92+S92+V92</f>
        <v>127700.85</v>
      </c>
    </row>
    <row r="94" spans="1:22">
      <c r="A94"/>
      <c r="B94"/>
      <c r="C94"/>
      <c r="D94"/>
      <c r="E94"/>
      <c r="F94"/>
      <c r="G94"/>
      <c r="H94"/>
      <c r="I94"/>
      <c r="J94"/>
    </row>
    <row r="95" spans="1:22">
      <c r="A95"/>
      <c r="B95"/>
      <c r="C95"/>
      <c r="D95"/>
      <c r="E95"/>
      <c r="F95"/>
      <c r="G95"/>
      <c r="H95"/>
      <c r="I95"/>
      <c r="J95"/>
      <c r="N95" s="24" t="s">
        <v>669</v>
      </c>
    </row>
    <row r="96" spans="1:22">
      <c r="A96"/>
      <c r="B96"/>
      <c r="C96"/>
      <c r="D96"/>
      <c r="E96"/>
      <c r="F96"/>
      <c r="G96"/>
      <c r="H96"/>
      <c r="I96"/>
      <c r="J96"/>
      <c r="N96" s="101" t="s">
        <v>670</v>
      </c>
    </row>
    <row r="97" spans="1:24">
      <c r="A97"/>
      <c r="B97"/>
      <c r="C97"/>
      <c r="D97"/>
      <c r="E97"/>
      <c r="F97"/>
      <c r="G97"/>
      <c r="H97"/>
      <c r="I97"/>
      <c r="J97"/>
      <c r="N97" s="101" t="s">
        <v>671</v>
      </c>
    </row>
    <row r="98" spans="1:24">
      <c r="A98"/>
      <c r="B98"/>
      <c r="C98"/>
      <c r="D98"/>
      <c r="E98"/>
      <c r="F98"/>
      <c r="G98"/>
      <c r="H98"/>
      <c r="I98"/>
      <c r="J98"/>
    </row>
    <row r="99" spans="1:24">
      <c r="A99"/>
      <c r="B99"/>
      <c r="C99"/>
      <c r="D99"/>
      <c r="E99"/>
      <c r="F99"/>
      <c r="G99"/>
      <c r="H99"/>
      <c r="I99"/>
      <c r="J99"/>
      <c r="N99" s="183" t="s">
        <v>662</v>
      </c>
      <c r="O99" s="183" t="s">
        <v>562</v>
      </c>
      <c r="P99" s="213">
        <v>0.3</v>
      </c>
      <c r="Q99" s="183" t="s">
        <v>521</v>
      </c>
      <c r="R99" s="206">
        <f>P93</f>
        <v>127700.85</v>
      </c>
      <c r="S99" s="183" t="s">
        <v>562</v>
      </c>
      <c r="T99" s="213">
        <v>0.3</v>
      </c>
      <c r="U99" s="183" t="s">
        <v>521</v>
      </c>
      <c r="V99" s="281">
        <f>R99*T99</f>
        <v>38310.254999999997</v>
      </c>
      <c r="W99" s="24" t="s">
        <v>672</v>
      </c>
    </row>
    <row r="100" spans="1:24">
      <c r="A100"/>
      <c r="B100"/>
      <c r="C100"/>
      <c r="D100"/>
      <c r="E100"/>
      <c r="F100"/>
      <c r="G100"/>
      <c r="H100"/>
      <c r="I100"/>
      <c r="J100"/>
    </row>
    <row r="101" spans="1:24">
      <c r="A101"/>
      <c r="B101"/>
      <c r="C101"/>
      <c r="D101"/>
      <c r="E101"/>
      <c r="F101"/>
      <c r="G101"/>
      <c r="H101"/>
      <c r="I101"/>
      <c r="J101"/>
      <c r="N101" s="24" t="s">
        <v>673</v>
      </c>
    </row>
    <row r="102" spans="1:24">
      <c r="A102"/>
      <c r="B102"/>
      <c r="C102"/>
      <c r="D102"/>
      <c r="E102"/>
      <c r="F102"/>
      <c r="G102"/>
      <c r="H102"/>
      <c r="I102"/>
      <c r="J102"/>
    </row>
    <row r="103" spans="1:24">
      <c r="A103"/>
      <c r="B103"/>
      <c r="C103"/>
      <c r="D103"/>
      <c r="E103"/>
      <c r="F103"/>
      <c r="G103"/>
      <c r="H103"/>
      <c r="I103"/>
      <c r="J103"/>
      <c r="O103" s="145" t="s">
        <v>674</v>
      </c>
      <c r="Q103" s="145" t="s">
        <v>624</v>
      </c>
      <c r="W103" s="145" t="s">
        <v>663</v>
      </c>
    </row>
    <row r="104" spans="1:24">
      <c r="A104"/>
      <c r="B104"/>
      <c r="C104"/>
      <c r="D104"/>
      <c r="E104"/>
      <c r="F104"/>
      <c r="G104"/>
      <c r="H104"/>
      <c r="I104"/>
      <c r="J104"/>
      <c r="O104" s="183" t="s">
        <v>662</v>
      </c>
      <c r="P104" s="183" t="s">
        <v>562</v>
      </c>
      <c r="Q104" s="282">
        <f>F69</f>
        <v>8.5000000000000006E-2</v>
      </c>
      <c r="R104" s="283" t="s">
        <v>675</v>
      </c>
      <c r="S104" s="284"/>
      <c r="T104" s="284"/>
      <c r="U104" s="284"/>
      <c r="V104" s="183" t="s">
        <v>521</v>
      </c>
      <c r="W104" s="103">
        <f>P93*Q104</f>
        <v>10854.572250000001</v>
      </c>
    </row>
    <row r="105" spans="1:24">
      <c r="A105"/>
      <c r="B105"/>
      <c r="C105"/>
      <c r="D105"/>
      <c r="E105"/>
      <c r="F105"/>
      <c r="G105"/>
      <c r="H105"/>
      <c r="I105"/>
      <c r="J105"/>
      <c r="O105" s="183" t="s">
        <v>583</v>
      </c>
      <c r="P105" s="183" t="s">
        <v>562</v>
      </c>
      <c r="Q105" s="282">
        <f>F63</f>
        <v>2.5000000000000001E-2</v>
      </c>
      <c r="R105" s="283" t="s">
        <v>675</v>
      </c>
      <c r="S105" s="284"/>
      <c r="T105" s="284"/>
      <c r="U105" s="284"/>
      <c r="V105" s="183" t="s">
        <v>521</v>
      </c>
      <c r="W105" s="103">
        <f>C60*Q105</f>
        <v>11608.75</v>
      </c>
    </row>
    <row r="106" spans="1:24">
      <c r="A106"/>
      <c r="B106"/>
      <c r="C106"/>
      <c r="D106"/>
      <c r="E106"/>
      <c r="F106"/>
      <c r="G106"/>
      <c r="H106"/>
      <c r="I106"/>
      <c r="J106"/>
      <c r="O106" s="183" t="s">
        <v>584</v>
      </c>
      <c r="P106" s="183" t="s">
        <v>562</v>
      </c>
      <c r="Q106" s="282">
        <f>F64</f>
        <v>1.7500000000000002E-2</v>
      </c>
      <c r="R106" s="283" t="s">
        <v>675</v>
      </c>
      <c r="S106" s="284"/>
      <c r="T106" s="284"/>
      <c r="U106" s="284"/>
      <c r="V106" s="183" t="s">
        <v>521</v>
      </c>
      <c r="W106" s="103">
        <f>D60*Q106</f>
        <v>2197.3000000000002</v>
      </c>
    </row>
    <row r="107" spans="1:24">
      <c r="A107"/>
      <c r="B107"/>
      <c r="C107"/>
      <c r="D107"/>
      <c r="E107"/>
      <c r="F107"/>
      <c r="G107"/>
      <c r="H107"/>
      <c r="I107"/>
      <c r="J107"/>
      <c r="O107" s="183" t="s">
        <v>585</v>
      </c>
      <c r="P107" s="183" t="s">
        <v>562</v>
      </c>
      <c r="Q107" s="282">
        <f>F65</f>
        <v>2.5000000000000001E-2</v>
      </c>
      <c r="R107" s="283" t="s">
        <v>675</v>
      </c>
      <c r="S107" s="284"/>
      <c r="T107" s="284"/>
      <c r="U107" s="284"/>
      <c r="V107" s="183" t="s">
        <v>521</v>
      </c>
      <c r="W107" s="103">
        <f>E60*Q107</f>
        <v>2508</v>
      </c>
    </row>
    <row r="108" spans="1:24">
      <c r="A108"/>
      <c r="B108"/>
      <c r="C108"/>
      <c r="D108"/>
      <c r="E108"/>
      <c r="F108"/>
      <c r="G108"/>
      <c r="H108"/>
      <c r="I108"/>
      <c r="J108"/>
      <c r="O108" s="205" t="s">
        <v>676</v>
      </c>
      <c r="P108" s="183" t="s">
        <v>562</v>
      </c>
      <c r="Q108" s="282">
        <f>F68</f>
        <v>2.5000000000000001E-2</v>
      </c>
      <c r="R108" s="183" t="s">
        <v>562</v>
      </c>
      <c r="S108" s="112" t="s">
        <v>677</v>
      </c>
      <c r="V108" s="183" t="s">
        <v>521</v>
      </c>
      <c r="W108" s="103">
        <f>(F60-20%)*Q108*(C60+D60)/(1+F60)</f>
        <v>241.76639344262284</v>
      </c>
    </row>
    <row r="109" spans="1:24">
      <c r="A109"/>
      <c r="B109"/>
      <c r="C109"/>
      <c r="D109"/>
      <c r="E109"/>
      <c r="F109"/>
      <c r="G109"/>
      <c r="H109"/>
      <c r="I109"/>
      <c r="J109"/>
      <c r="W109" s="285">
        <f>SUM(W104:W108)</f>
        <v>27410.388643442624</v>
      </c>
      <c r="X109" s="76" t="s">
        <v>678</v>
      </c>
    </row>
    <row r="110" spans="1:24">
      <c r="A110"/>
      <c r="B110"/>
      <c r="C110"/>
      <c r="D110"/>
      <c r="E110"/>
      <c r="F110"/>
      <c r="G110"/>
      <c r="H110"/>
      <c r="I110"/>
      <c r="J110"/>
    </row>
    <row r="111" spans="1:24">
      <c r="A111"/>
      <c r="B111"/>
      <c r="C111"/>
      <c r="D111"/>
      <c r="E111"/>
      <c r="F111"/>
      <c r="G111"/>
      <c r="H111"/>
      <c r="I111"/>
      <c r="J111"/>
      <c r="N111" s="24" t="s">
        <v>679</v>
      </c>
    </row>
    <row r="112" spans="1:24">
      <c r="A112"/>
      <c r="B112"/>
      <c r="C112"/>
      <c r="D112"/>
      <c r="E112"/>
      <c r="F112"/>
      <c r="G112"/>
      <c r="H112"/>
      <c r="I112"/>
      <c r="J112"/>
    </row>
    <row r="113" spans="1:24">
      <c r="A113"/>
      <c r="B113"/>
      <c r="C113"/>
      <c r="D113"/>
      <c r="E113"/>
      <c r="F113"/>
      <c r="G113"/>
      <c r="H113"/>
      <c r="I113"/>
      <c r="J113"/>
      <c r="O113" s="145" t="s">
        <v>674</v>
      </c>
      <c r="Q113" s="145" t="s">
        <v>624</v>
      </c>
    </row>
    <row r="114" spans="1:24">
      <c r="A114"/>
      <c r="B114"/>
      <c r="C114"/>
      <c r="D114"/>
      <c r="E114"/>
      <c r="F114"/>
      <c r="G114"/>
      <c r="H114"/>
      <c r="I114"/>
      <c r="J114"/>
      <c r="O114" s="183" t="s">
        <v>680</v>
      </c>
      <c r="P114" s="183" t="s">
        <v>562</v>
      </c>
      <c r="Q114" s="282">
        <f>F66</f>
        <v>7.4999999999999997E-3</v>
      </c>
      <c r="R114" s="183" t="s">
        <v>521</v>
      </c>
      <c r="S114" s="206">
        <f>G60</f>
        <v>0</v>
      </c>
      <c r="T114" s="183" t="s">
        <v>562</v>
      </c>
      <c r="U114" s="282">
        <f>Q114</f>
        <v>7.4999999999999997E-3</v>
      </c>
      <c r="V114" s="183" t="s">
        <v>521</v>
      </c>
      <c r="W114" s="24">
        <f>S114*U114</f>
        <v>0</v>
      </c>
    </row>
    <row r="115" spans="1:24">
      <c r="A115"/>
      <c r="B115"/>
      <c r="C115"/>
      <c r="D115"/>
      <c r="E115"/>
      <c r="F115"/>
      <c r="G115"/>
      <c r="H115"/>
      <c r="I115"/>
      <c r="J115"/>
      <c r="O115" s="183" t="s">
        <v>681</v>
      </c>
      <c r="P115" s="183" t="s">
        <v>562</v>
      </c>
      <c r="Q115" s="282">
        <f>F67</f>
        <v>7.4999999999999997E-3</v>
      </c>
      <c r="R115" s="183" t="s">
        <v>521</v>
      </c>
      <c r="S115" s="206">
        <f>H60</f>
        <v>0</v>
      </c>
      <c r="T115" s="183" t="s">
        <v>562</v>
      </c>
      <c r="U115" s="282">
        <f>Q115</f>
        <v>7.4999999999999997E-3</v>
      </c>
      <c r="V115" s="183" t="s">
        <v>521</v>
      </c>
      <c r="W115" s="24">
        <f>S115*U115</f>
        <v>0</v>
      </c>
    </row>
    <row r="116" spans="1:24">
      <c r="A116"/>
      <c r="B116"/>
      <c r="C116"/>
      <c r="D116"/>
      <c r="E116"/>
      <c r="F116"/>
      <c r="G116"/>
      <c r="H116"/>
      <c r="I116"/>
      <c r="J116"/>
      <c r="W116" s="139">
        <f>MAX(W114:W115)</f>
        <v>0</v>
      </c>
      <c r="X116" s="76" t="s">
        <v>682</v>
      </c>
    </row>
    <row r="117" spans="1:24">
      <c r="A117"/>
      <c r="B117"/>
      <c r="C117"/>
      <c r="D117"/>
      <c r="E117"/>
      <c r="F117"/>
      <c r="G117"/>
      <c r="H117"/>
      <c r="I117"/>
      <c r="J117"/>
      <c r="N117" s="24" t="s">
        <v>683</v>
      </c>
    </row>
    <row r="118" spans="1:24">
      <c r="A118"/>
      <c r="B118"/>
      <c r="C118"/>
      <c r="D118"/>
      <c r="E118"/>
      <c r="F118"/>
      <c r="G118"/>
      <c r="H118"/>
      <c r="I118"/>
      <c r="J118"/>
    </row>
    <row r="119" spans="1:24">
      <c r="A119"/>
      <c r="B119"/>
      <c r="C119"/>
      <c r="D119"/>
      <c r="E119"/>
      <c r="F119"/>
      <c r="G119"/>
      <c r="H119"/>
      <c r="I119"/>
      <c r="J119"/>
      <c r="P119" s="24" t="s">
        <v>684</v>
      </c>
    </row>
    <row r="120" spans="1:24">
      <c r="A120"/>
      <c r="B120"/>
      <c r="C120"/>
      <c r="D120"/>
      <c r="E120"/>
      <c r="F120"/>
      <c r="G120"/>
      <c r="H120"/>
      <c r="I120"/>
      <c r="J120"/>
      <c r="O120" s="183" t="s">
        <v>524</v>
      </c>
      <c r="P120" s="24" t="s">
        <v>685</v>
      </c>
    </row>
    <row r="121" spans="1:24">
      <c r="A121"/>
      <c r="B121"/>
      <c r="C121"/>
      <c r="D121"/>
      <c r="E121"/>
      <c r="F121"/>
      <c r="G121"/>
      <c r="H121"/>
      <c r="I121"/>
      <c r="J121"/>
      <c r="O121" s="138" t="s">
        <v>521</v>
      </c>
      <c r="P121" s="285">
        <f>W109</f>
        <v>27410.388643442624</v>
      </c>
      <c r="Q121" s="139"/>
      <c r="R121" s="139"/>
      <c r="S121" s="139"/>
    </row>
    <row r="122" spans="1:24">
      <c r="A122"/>
      <c r="B122"/>
      <c r="C122"/>
      <c r="D122"/>
      <c r="E122"/>
      <c r="F122"/>
      <c r="G122"/>
      <c r="H122"/>
      <c r="I122"/>
      <c r="J122"/>
      <c r="O122" s="183" t="s">
        <v>524</v>
      </c>
      <c r="P122" s="24">
        <f>W116</f>
        <v>0</v>
      </c>
    </row>
    <row r="123" spans="1:24">
      <c r="A123"/>
      <c r="B123"/>
      <c r="C123"/>
      <c r="D123"/>
      <c r="E123"/>
      <c r="F123"/>
      <c r="G123"/>
      <c r="H123"/>
      <c r="I123"/>
      <c r="J123"/>
      <c r="O123" s="138" t="s">
        <v>521</v>
      </c>
      <c r="P123" s="285">
        <f>P121+P122</f>
        <v>27410.388643442624</v>
      </c>
      <c r="Q123" s="286" t="s">
        <v>686</v>
      </c>
      <c r="R123" s="139"/>
      <c r="S123" s="139"/>
    </row>
    <row r="124" spans="1:24">
      <c r="A124"/>
      <c r="B124"/>
      <c r="C124"/>
      <c r="D124"/>
      <c r="E124"/>
      <c r="F124"/>
      <c r="G124"/>
      <c r="H124"/>
      <c r="I124"/>
      <c r="J124"/>
    </row>
    <row r="125" spans="1:24">
      <c r="A125"/>
      <c r="B125"/>
      <c r="C125"/>
      <c r="D125"/>
      <c r="E125"/>
      <c r="F125"/>
      <c r="G125"/>
      <c r="H125"/>
      <c r="I125"/>
      <c r="J125"/>
      <c r="N125" s="24" t="s">
        <v>687</v>
      </c>
    </row>
    <row r="126" spans="1:24">
      <c r="A126"/>
      <c r="B126"/>
      <c r="C126"/>
      <c r="D126"/>
      <c r="E126"/>
      <c r="F126"/>
      <c r="G126"/>
      <c r="H126"/>
      <c r="I126"/>
      <c r="J126"/>
    </row>
    <row r="127" spans="1:24">
      <c r="A127"/>
      <c r="B127"/>
      <c r="C127"/>
      <c r="D127"/>
      <c r="E127"/>
      <c r="F127"/>
      <c r="G127"/>
      <c r="H127"/>
      <c r="I127"/>
      <c r="J127"/>
      <c r="O127" s="24" t="s">
        <v>688</v>
      </c>
    </row>
    <row r="128" spans="1:24">
      <c r="A128"/>
      <c r="B128"/>
      <c r="C128"/>
      <c r="D128"/>
      <c r="E128"/>
      <c r="F128"/>
      <c r="G128"/>
      <c r="H128"/>
      <c r="I128"/>
      <c r="J128"/>
      <c r="O128" s="183" t="s">
        <v>521</v>
      </c>
      <c r="P128" s="183" t="s">
        <v>689</v>
      </c>
      <c r="Q128" s="206">
        <f>P123</f>
        <v>27410.388643442624</v>
      </c>
      <c r="R128" s="183" t="s">
        <v>540</v>
      </c>
      <c r="S128" s="206">
        <f>V99</f>
        <v>38310.254999999997</v>
      </c>
      <c r="T128" s="183" t="s">
        <v>527</v>
      </c>
    </row>
    <row r="129" spans="1:26">
      <c r="A129"/>
      <c r="B129"/>
      <c r="C129"/>
      <c r="D129"/>
      <c r="E129"/>
      <c r="F129"/>
      <c r="G129"/>
      <c r="H129"/>
      <c r="I129"/>
      <c r="J129"/>
      <c r="O129" s="183" t="s">
        <v>521</v>
      </c>
      <c r="P129" s="235">
        <f>MIN(Q128,S128)</f>
        <v>27410.388643442624</v>
      </c>
      <c r="Q129" s="76" t="s">
        <v>690</v>
      </c>
    </row>
    <row r="130" spans="1:26">
      <c r="A130"/>
      <c r="B130"/>
      <c r="C130"/>
      <c r="D130"/>
      <c r="E130"/>
      <c r="F130"/>
      <c r="G130"/>
      <c r="H130"/>
      <c r="I130"/>
      <c r="J130"/>
    </row>
    <row r="131" spans="1:26">
      <c r="A131"/>
      <c r="B131"/>
      <c r="C131"/>
      <c r="D131"/>
      <c r="E131"/>
      <c r="F131"/>
      <c r="G131"/>
      <c r="H131"/>
      <c r="I131"/>
      <c r="J131"/>
      <c r="M131" s="193" t="s">
        <v>691</v>
      </c>
      <c r="N131" s="277"/>
      <c r="O131" s="277"/>
      <c r="P131" s="278"/>
    </row>
    <row r="132" spans="1:26">
      <c r="A132"/>
      <c r="B132"/>
      <c r="C132"/>
      <c r="D132"/>
      <c r="E132"/>
      <c r="F132"/>
      <c r="G132"/>
      <c r="H132"/>
      <c r="I132"/>
      <c r="J132"/>
    </row>
    <row r="133" spans="1:26">
      <c r="A133"/>
      <c r="B133"/>
      <c r="C133"/>
      <c r="D133"/>
      <c r="E133"/>
      <c r="F133"/>
      <c r="G133"/>
      <c r="H133"/>
      <c r="I133"/>
      <c r="J133"/>
      <c r="M133" s="183" t="s">
        <v>553</v>
      </c>
      <c r="N133" s="183" t="s">
        <v>264</v>
      </c>
      <c r="O133" s="183" t="s">
        <v>521</v>
      </c>
      <c r="P133" s="287" t="s">
        <v>692</v>
      </c>
    </row>
    <row r="134" spans="1:26">
      <c r="A134"/>
      <c r="B134"/>
      <c r="C134"/>
      <c r="D134"/>
      <c r="E134"/>
      <c r="F134"/>
      <c r="G134"/>
      <c r="H134"/>
      <c r="I134"/>
      <c r="J134"/>
      <c r="N134" s="183" t="s">
        <v>274</v>
      </c>
      <c r="O134" s="183" t="s">
        <v>521</v>
      </c>
      <c r="P134" s="287" t="s">
        <v>693</v>
      </c>
    </row>
    <row r="135" spans="1:26">
      <c r="A135"/>
      <c r="B135"/>
      <c r="C135"/>
      <c r="D135"/>
      <c r="E135"/>
      <c r="F135"/>
      <c r="G135"/>
      <c r="H135"/>
      <c r="I135"/>
      <c r="J135"/>
      <c r="N135" s="183" t="s">
        <v>694</v>
      </c>
      <c r="O135" s="183" t="s">
        <v>521</v>
      </c>
      <c r="P135" s="287" t="s">
        <v>695</v>
      </c>
    </row>
    <row r="136" spans="1:26">
      <c r="A136"/>
      <c r="B136"/>
      <c r="C136"/>
      <c r="D136"/>
      <c r="E136"/>
      <c r="F136"/>
      <c r="G136"/>
      <c r="H136"/>
      <c r="I136"/>
      <c r="J136"/>
    </row>
    <row r="137" spans="1:26">
      <c r="A137"/>
      <c r="B137"/>
      <c r="C137"/>
      <c r="D137"/>
      <c r="E137"/>
      <c r="F137"/>
      <c r="G137"/>
      <c r="H137"/>
      <c r="I137"/>
      <c r="J137"/>
      <c r="M137" s="183" t="s">
        <v>696</v>
      </c>
      <c r="N137" s="183" t="s">
        <v>264</v>
      </c>
      <c r="O137" s="183" t="s">
        <v>521</v>
      </c>
      <c r="P137" s="183" t="s">
        <v>274</v>
      </c>
      <c r="Q137" s="183" t="s">
        <v>524</v>
      </c>
      <c r="R137" s="183" t="s">
        <v>694</v>
      </c>
      <c r="S137" s="183" t="s">
        <v>521</v>
      </c>
      <c r="T137" s="206">
        <f>Q59</f>
        <v>13013</v>
      </c>
      <c r="U137" s="183" t="s">
        <v>524</v>
      </c>
      <c r="V137" s="206">
        <f>Q53</f>
        <v>22755</v>
      </c>
      <c r="W137" s="183" t="s">
        <v>521</v>
      </c>
      <c r="X137" s="206">
        <f>T137+V137</f>
        <v>35768</v>
      </c>
    </row>
    <row r="138" spans="1:26">
      <c r="A138"/>
      <c r="B138"/>
      <c r="C138"/>
      <c r="D138"/>
      <c r="E138"/>
      <c r="F138"/>
      <c r="G138"/>
      <c r="H138"/>
      <c r="I138"/>
      <c r="J138"/>
    </row>
    <row r="139" spans="1:26">
      <c r="A139"/>
      <c r="B139"/>
      <c r="C139"/>
      <c r="D139"/>
      <c r="E139"/>
      <c r="F139"/>
      <c r="G139"/>
      <c r="H139"/>
      <c r="I139"/>
      <c r="J139"/>
      <c r="M139" s="183" t="s">
        <v>553</v>
      </c>
      <c r="N139" s="183" t="s">
        <v>697</v>
      </c>
      <c r="O139" s="183" t="s">
        <v>521</v>
      </c>
      <c r="P139" s="24" t="s">
        <v>698</v>
      </c>
      <c r="R139" s="283" t="s">
        <v>675</v>
      </c>
      <c r="S139" s="284"/>
      <c r="T139" s="284"/>
      <c r="U139" s="284"/>
      <c r="V139" s="284"/>
      <c r="W139" s="183" t="s">
        <v>521</v>
      </c>
      <c r="X139" s="103">
        <f>Q47</f>
        <v>91932.85</v>
      </c>
      <c r="Y139" s="101" t="s">
        <v>699</v>
      </c>
    </row>
    <row r="141" spans="1:26">
      <c r="M141" s="183" t="s">
        <v>696</v>
      </c>
    </row>
    <row r="142" spans="1:26">
      <c r="M142" s="205"/>
      <c r="N142" s="205" t="s">
        <v>700</v>
      </c>
      <c r="O142" s="183" t="s">
        <v>521</v>
      </c>
      <c r="P142" s="183" t="s">
        <v>264</v>
      </c>
      <c r="Q142" s="183" t="s">
        <v>524</v>
      </c>
      <c r="R142" s="183" t="s">
        <v>697</v>
      </c>
      <c r="S142" s="183" t="s">
        <v>529</v>
      </c>
      <c r="T142" s="287" t="s">
        <v>701</v>
      </c>
      <c r="U142" s="183"/>
      <c r="V142" s="183"/>
      <c r="W142" s="183"/>
      <c r="X142" s="183"/>
      <c r="Y142" s="183"/>
      <c r="Z142" s="183"/>
    </row>
    <row r="143" spans="1:26">
      <c r="O143" s="183" t="s">
        <v>521</v>
      </c>
      <c r="P143" s="103">
        <f>X137</f>
        <v>35768</v>
      </c>
      <c r="Q143" s="183" t="s">
        <v>524</v>
      </c>
      <c r="R143" s="103">
        <f>X139</f>
        <v>91932.85</v>
      </c>
      <c r="S143" s="183" t="s">
        <v>529</v>
      </c>
      <c r="T143" s="103">
        <f>SQRT(X137^2+X139^2+2*0.5*X137*X139)</f>
        <v>114101.94087710559</v>
      </c>
    </row>
    <row r="144" spans="1:26">
      <c r="O144" s="183" t="s">
        <v>521</v>
      </c>
      <c r="P144" s="235">
        <f>P143+R143-T143</f>
        <v>13598.909122894416</v>
      </c>
      <c r="Q144" s="76" t="s">
        <v>702</v>
      </c>
    </row>
    <row r="146" spans="12:26"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8" spans="12:26">
      <c r="L148" s="183" t="s">
        <v>4</v>
      </c>
      <c r="M148" s="183" t="s">
        <v>703</v>
      </c>
      <c r="N148" s="183" t="s">
        <v>521</v>
      </c>
      <c r="O148" s="24" t="s">
        <v>704</v>
      </c>
      <c r="Q148" s="264" t="s">
        <v>705</v>
      </c>
      <c r="R148" s="24" t="s">
        <v>706</v>
      </c>
    </row>
    <row r="149" spans="12:26">
      <c r="N149" s="183" t="s">
        <v>521</v>
      </c>
      <c r="O149" s="24" t="s">
        <v>707</v>
      </c>
      <c r="Q149" s="264" t="s">
        <v>705</v>
      </c>
      <c r="R149" s="24" t="s">
        <v>708</v>
      </c>
    </row>
    <row r="150" spans="12:26">
      <c r="N150" s="183" t="s">
        <v>521</v>
      </c>
      <c r="O150" s="288">
        <f>Q6</f>
        <v>180728.25</v>
      </c>
      <c r="Q150" s="264" t="s">
        <v>705</v>
      </c>
      <c r="R150" s="288">
        <f>Q64</f>
        <v>94341.553013698824</v>
      </c>
    </row>
    <row r="151" spans="12:26">
      <c r="N151" s="183" t="s">
        <v>521</v>
      </c>
      <c r="O151" s="289">
        <f>O150/R150</f>
        <v>1.9156802514556595</v>
      </c>
      <c r="P151" s="76" t="s">
        <v>709</v>
      </c>
    </row>
    <row r="153" spans="12:26">
      <c r="M153" s="24" t="s">
        <v>710</v>
      </c>
      <c r="O153" s="290">
        <f>O151</f>
        <v>1.9156802514556595</v>
      </c>
      <c r="P153" s="24" t="s">
        <v>711</v>
      </c>
    </row>
    <row r="154" spans="12:26">
      <c r="M154" s="24" t="s">
        <v>712</v>
      </c>
    </row>
  </sheetData>
  <mergeCells count="1">
    <mergeCell ref="I1:J1"/>
  </mergeCells>
  <conditionalFormatting sqref="B1">
    <cfRule type="cellIs" dxfId="46" priority="1" operator="equal">
      <formula>"Incomplete"</formula>
    </cfRule>
    <cfRule type="cellIs" dxfId="45" priority="2" operator="equal">
      <formula>"Flag for Review"</formula>
    </cfRule>
    <cfRule type="cellIs" dxfId="44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  <hyperlink ref="I1:J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38"/>
  <sheetViews>
    <sheetView zoomScale="90" zoomScaleNormal="90" workbookViewId="0">
      <selection activeCell="A7" sqref="A7"/>
    </sheetView>
  </sheetViews>
  <sheetFormatPr defaultColWidth="8.7109375" defaultRowHeight="15"/>
  <cols>
    <col min="1" max="1" width="9.7109375" customWidth="1"/>
    <col min="2" max="2" width="10.42578125" customWidth="1"/>
    <col min="3" max="9" width="6.7109375" customWidth="1"/>
    <col min="10" max="10" width="14.140625" bestFit="1" customWidth="1"/>
    <col min="11" max="11" width="2.7109375" customWidth="1"/>
    <col min="12" max="12" width="12.7109375" customWidth="1"/>
    <col min="13" max="19" width="6.7109375" customWidth="1"/>
  </cols>
  <sheetData>
    <row r="1" spans="1:19" ht="15.75" thickBot="1"/>
    <row r="2" spans="1:19" ht="15" customHeight="1" thickBot="1">
      <c r="L2" s="18" t="s">
        <v>31</v>
      </c>
      <c r="M2" s="21" t="str">
        <f t="array" ref="M2">IF(SUM(IF(M8:S35="",0,1))=0,"",SUM(M8:S35))</f>
        <v/>
      </c>
      <c r="O2" s="13" t="s">
        <v>14</v>
      </c>
      <c r="P2" s="6" t="str">
        <f>IF(M2="","",M2/M3)</f>
        <v/>
      </c>
    </row>
    <row r="3" spans="1:19">
      <c r="L3" s="19" t="s">
        <v>32</v>
      </c>
      <c r="M3" s="20">
        <f>SUM(B8:B40)</f>
        <v>75</v>
      </c>
    </row>
    <row r="5" spans="1:19" ht="23.25">
      <c r="A5" s="15" t="s">
        <v>503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</row>
    <row r="6" spans="1:19" ht="15.75">
      <c r="A6" s="1"/>
      <c r="B6" s="468" t="s">
        <v>9</v>
      </c>
      <c r="C6" s="2" t="s">
        <v>1</v>
      </c>
      <c r="D6" s="2"/>
      <c r="E6" s="2"/>
      <c r="F6" s="2"/>
      <c r="G6" s="2"/>
      <c r="H6" s="2"/>
      <c r="I6" s="2"/>
      <c r="J6" s="1"/>
      <c r="L6" s="4" t="s">
        <v>11</v>
      </c>
      <c r="M6" s="2" t="s">
        <v>1</v>
      </c>
      <c r="N6" s="2"/>
      <c r="O6" s="2"/>
      <c r="P6" s="2"/>
      <c r="Q6" s="2"/>
      <c r="R6" s="2"/>
      <c r="S6" s="2"/>
    </row>
    <row r="7" spans="1:19">
      <c r="A7" s="3" t="s">
        <v>0</v>
      </c>
      <c r="B7" s="468"/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3" t="s">
        <v>8</v>
      </c>
      <c r="J7" s="3" t="s">
        <v>10</v>
      </c>
      <c r="L7" s="3" t="s">
        <v>0</v>
      </c>
      <c r="M7" s="3" t="s">
        <v>2</v>
      </c>
      <c r="N7" s="3" t="s">
        <v>3</v>
      </c>
      <c r="O7" s="3" t="s">
        <v>4</v>
      </c>
      <c r="P7" s="3" t="s">
        <v>5</v>
      </c>
      <c r="Q7" s="3" t="s">
        <v>6</v>
      </c>
      <c r="R7" s="3" t="s">
        <v>7</v>
      </c>
      <c r="S7" s="3" t="s">
        <v>8</v>
      </c>
    </row>
    <row r="8" spans="1:19">
      <c r="A8" s="43">
        <v>1</v>
      </c>
      <c r="B8" s="382">
        <f>SUM(C8:I8)</f>
        <v>1.5</v>
      </c>
      <c r="C8" s="11">
        <v>0.5</v>
      </c>
      <c r="D8" s="11">
        <v>0.5</v>
      </c>
      <c r="E8" s="11">
        <v>0.5</v>
      </c>
      <c r="F8" s="11"/>
      <c r="G8" s="11"/>
      <c r="H8" s="11"/>
      <c r="I8" s="11"/>
      <c r="J8" s="10" t="str">
        <f ca="1">INDIRECT("'"&amp;A8&amp;"'!B1")</f>
        <v>Incomplete</v>
      </c>
      <c r="L8" s="14">
        <f>A8</f>
        <v>1</v>
      </c>
      <c r="M8" s="37" t="str">
        <f>IF('1'!$A$17="","",'1'!$A$17)</f>
        <v/>
      </c>
      <c r="N8" s="37" t="str">
        <f>IF('1'!$A$21="","",'1'!$A$21)</f>
        <v/>
      </c>
      <c r="O8" s="37" t="str">
        <f>IF('1'!$A$25="","",'1'!$A$25)</f>
        <v/>
      </c>
      <c r="P8" s="37"/>
      <c r="Q8" s="37"/>
      <c r="R8" s="37"/>
      <c r="S8" s="37"/>
    </row>
    <row r="9" spans="1:19">
      <c r="A9" s="43">
        <v>2</v>
      </c>
      <c r="B9" s="382">
        <f t="shared" ref="B9:B34" si="0">SUM(C9:I9)</f>
        <v>2</v>
      </c>
      <c r="C9" s="11">
        <v>1</v>
      </c>
      <c r="D9" s="11">
        <v>0.5</v>
      </c>
      <c r="E9" s="11">
        <v>0.5</v>
      </c>
      <c r="F9" s="11"/>
      <c r="G9" s="11"/>
      <c r="H9" s="11"/>
      <c r="I9" s="11"/>
      <c r="J9" s="10" t="str">
        <f t="shared" ref="J9:J26" ca="1" si="1">INDIRECT("'"&amp;A9&amp;"'!B1")</f>
        <v>Incomplete</v>
      </c>
      <c r="L9" s="14">
        <f t="shared" ref="L9:L26" si="2">A9</f>
        <v>2</v>
      </c>
      <c r="M9" s="37" t="str">
        <f>IF('2'!$A$9="","",'2'!$A$9)</f>
        <v/>
      </c>
      <c r="N9" s="37" t="str">
        <f>IF('2'!$A$13="","",'2'!$A$13)</f>
        <v/>
      </c>
      <c r="O9" s="37" t="str">
        <f>IF('2'!$A$17="","",'2'!$A$17)</f>
        <v/>
      </c>
      <c r="P9" s="37"/>
      <c r="Q9" s="37"/>
      <c r="R9" s="37"/>
      <c r="S9" s="37"/>
    </row>
    <row r="10" spans="1:19">
      <c r="A10" s="43">
        <v>3</v>
      </c>
      <c r="B10" s="382">
        <f t="shared" si="0"/>
        <v>2.5</v>
      </c>
      <c r="C10" s="11">
        <v>0.5</v>
      </c>
      <c r="D10" s="11">
        <v>0.5</v>
      </c>
      <c r="E10" s="11">
        <v>0.5</v>
      </c>
      <c r="F10" s="11">
        <v>0.5</v>
      </c>
      <c r="G10" s="11">
        <v>0.5</v>
      </c>
      <c r="H10" s="11"/>
      <c r="I10" s="11"/>
      <c r="J10" s="10" t="str">
        <f t="shared" ca="1" si="1"/>
        <v>Incomplete</v>
      </c>
      <c r="L10" s="14">
        <f t="shared" si="2"/>
        <v>3</v>
      </c>
      <c r="M10" s="37" t="str">
        <f>IF('3'!$A$8="","",'3'!$A$8)</f>
        <v/>
      </c>
      <c r="N10" s="37" t="str">
        <f>IF('3'!$A$12="","",'3'!$A$12)</f>
        <v/>
      </c>
      <c r="O10" s="37" t="str">
        <f>IF('3'!$A$16="","",'3'!$A$16)</f>
        <v/>
      </c>
      <c r="P10" s="37" t="str">
        <f>IF('3'!$A$20="","",'3'!$A$20)</f>
        <v/>
      </c>
      <c r="Q10" s="37" t="str">
        <f>IF('3'!$A$24="","",'3'!$A$24)</f>
        <v/>
      </c>
      <c r="R10" s="37"/>
      <c r="S10" s="37"/>
    </row>
    <row r="11" spans="1:19">
      <c r="A11" s="43">
        <v>4</v>
      </c>
      <c r="B11" s="382">
        <f t="shared" si="0"/>
        <v>2.75</v>
      </c>
      <c r="C11" s="11">
        <v>1.25</v>
      </c>
      <c r="D11" s="11">
        <v>1.25</v>
      </c>
      <c r="E11" s="11">
        <v>0.25</v>
      </c>
      <c r="F11" s="11"/>
      <c r="G11" s="11"/>
      <c r="H11" s="11"/>
      <c r="I11" s="11"/>
      <c r="J11" s="10" t="str">
        <f t="shared" ca="1" si="1"/>
        <v>Incomplete</v>
      </c>
      <c r="L11" s="14">
        <f t="shared" si="2"/>
        <v>4</v>
      </c>
      <c r="M11" s="37" t="str">
        <f>IF('4'!$A$8="","",'4'!$A$8)</f>
        <v/>
      </c>
      <c r="N11" s="37" t="str">
        <f>IF('4'!$A$12="","",'4'!$A$12)</f>
        <v/>
      </c>
      <c r="O11" s="37" t="str">
        <f>IF('4'!$A$16="","",'4'!$A$16)</f>
        <v/>
      </c>
      <c r="P11" s="37"/>
      <c r="Q11" s="37"/>
      <c r="R11" s="37"/>
      <c r="S11" s="37"/>
    </row>
    <row r="12" spans="1:19">
      <c r="A12" s="43">
        <v>5</v>
      </c>
      <c r="B12" s="382">
        <f t="shared" si="0"/>
        <v>2.5</v>
      </c>
      <c r="C12" s="11">
        <v>1</v>
      </c>
      <c r="D12" s="11">
        <v>1</v>
      </c>
      <c r="E12" s="11">
        <v>0.5</v>
      </c>
      <c r="F12" s="11"/>
      <c r="G12" s="11"/>
      <c r="H12" s="11"/>
      <c r="I12" s="11"/>
      <c r="J12" s="10" t="str">
        <f t="shared" ca="1" si="1"/>
        <v>Incomplete</v>
      </c>
      <c r="L12" s="14">
        <f t="shared" si="2"/>
        <v>5</v>
      </c>
      <c r="M12" s="37" t="str">
        <f>IF('5'!$A$8="","",'5'!$A$8)</f>
        <v/>
      </c>
      <c r="N12" s="37" t="str">
        <f>IF('5'!$A$12="","",'5'!$A$12)</f>
        <v/>
      </c>
      <c r="O12" s="37" t="str">
        <f>IF('5'!$A$16="","",'5'!$A$16)</f>
        <v/>
      </c>
      <c r="P12" s="37"/>
      <c r="Q12" s="37"/>
      <c r="R12" s="37"/>
      <c r="S12" s="37"/>
    </row>
    <row r="13" spans="1:19">
      <c r="A13" s="43">
        <v>6</v>
      </c>
      <c r="B13" s="382">
        <f t="shared" si="0"/>
        <v>2</v>
      </c>
      <c r="C13" s="11">
        <v>2</v>
      </c>
      <c r="D13" s="11"/>
      <c r="E13" s="11"/>
      <c r="F13" s="11"/>
      <c r="G13" s="11"/>
      <c r="H13" s="11"/>
      <c r="I13" s="11"/>
      <c r="J13" s="10" t="str">
        <f t="shared" ca="1" si="1"/>
        <v>Incomplete</v>
      </c>
      <c r="L13" s="14">
        <f t="shared" si="2"/>
        <v>6</v>
      </c>
      <c r="M13" s="37" t="str">
        <f>IF('6'!$A$8="","",'6'!$A$8)</f>
        <v/>
      </c>
      <c r="N13" s="61"/>
      <c r="O13" s="49"/>
      <c r="P13" s="49"/>
      <c r="Q13" s="49"/>
      <c r="R13" s="37"/>
      <c r="S13" s="37"/>
    </row>
    <row r="14" spans="1:19">
      <c r="A14" s="43">
        <v>7</v>
      </c>
      <c r="B14" s="382">
        <f t="shared" si="0"/>
        <v>0.5</v>
      </c>
      <c r="C14" s="11">
        <v>0.5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/>
      <c r="J14" s="10" t="str">
        <f t="shared" ca="1" si="1"/>
        <v>Incomplete</v>
      </c>
      <c r="L14" s="14">
        <f t="shared" si="2"/>
        <v>7</v>
      </c>
      <c r="M14" s="37" t="str">
        <f>IF('7'!$A$8="","",'7'!$A$8)</f>
        <v/>
      </c>
      <c r="N14" s="37"/>
      <c r="O14" s="37"/>
      <c r="P14" s="37"/>
      <c r="Q14" s="37"/>
      <c r="R14" s="37"/>
      <c r="S14" s="37"/>
    </row>
    <row r="15" spans="1:19">
      <c r="A15" s="43">
        <v>8</v>
      </c>
      <c r="B15" s="382">
        <f t="shared" si="0"/>
        <v>3.75</v>
      </c>
      <c r="C15" s="11">
        <v>2</v>
      </c>
      <c r="D15" s="11">
        <v>0.5</v>
      </c>
      <c r="E15" s="11">
        <v>1.25</v>
      </c>
      <c r="F15" s="11"/>
      <c r="G15" s="11"/>
      <c r="H15" s="11"/>
      <c r="I15" s="11"/>
      <c r="J15" s="10" t="str">
        <f t="shared" ca="1" si="1"/>
        <v>Incomplete</v>
      </c>
      <c r="L15" s="14">
        <f t="shared" si="2"/>
        <v>8</v>
      </c>
      <c r="M15" s="37" t="str">
        <f>IF('8'!$A$8="","",'8'!$A$8)</f>
        <v/>
      </c>
      <c r="N15" s="37" t="str">
        <f>IF('8'!$A$12="","",'8'!$A$12)</f>
        <v/>
      </c>
      <c r="O15" s="37" t="str">
        <f>IF('8'!$A$16="","",'8'!$A$16)</f>
        <v/>
      </c>
      <c r="P15" s="37"/>
      <c r="Q15" s="37"/>
      <c r="R15" s="37"/>
      <c r="S15" s="37"/>
    </row>
    <row r="16" spans="1:19">
      <c r="A16" s="43">
        <v>9</v>
      </c>
      <c r="B16" s="383">
        <f t="shared" si="0"/>
        <v>1.25</v>
      </c>
      <c r="C16" s="11">
        <v>0.5</v>
      </c>
      <c r="D16" s="11">
        <v>0.75</v>
      </c>
      <c r="E16" s="11"/>
      <c r="F16" s="11"/>
      <c r="G16" s="11"/>
      <c r="H16" s="11"/>
      <c r="I16" s="11"/>
      <c r="J16" s="10" t="str">
        <f t="shared" ca="1" si="1"/>
        <v>Incomplete</v>
      </c>
      <c r="L16" s="14">
        <f t="shared" si="2"/>
        <v>9</v>
      </c>
      <c r="M16" s="37" t="str">
        <f>IF('9'!$A$8="","",'9'!$A$8)</f>
        <v/>
      </c>
      <c r="N16" s="37" t="str">
        <f>IF('9'!$A$12="","",'9'!$A$12)</f>
        <v/>
      </c>
      <c r="O16" s="37"/>
      <c r="P16" s="37"/>
      <c r="Q16" s="37"/>
      <c r="R16" s="37"/>
      <c r="S16" s="37"/>
    </row>
    <row r="17" spans="1:19">
      <c r="A17" s="43">
        <v>10</v>
      </c>
      <c r="B17" s="383">
        <f t="shared" si="0"/>
        <v>2</v>
      </c>
      <c r="C17" s="11">
        <v>1</v>
      </c>
      <c r="D17" s="11">
        <v>1</v>
      </c>
      <c r="E17" s="11"/>
      <c r="F17" s="11"/>
      <c r="G17" s="11"/>
      <c r="H17" s="11"/>
      <c r="I17" s="11"/>
      <c r="J17" s="10" t="str">
        <f t="shared" ca="1" si="1"/>
        <v>Incomplete</v>
      </c>
      <c r="L17" s="14">
        <f t="shared" si="2"/>
        <v>10</v>
      </c>
      <c r="M17" s="37" t="str">
        <f>IF('10'!$A$8="","",'10'!$A$8)</f>
        <v/>
      </c>
      <c r="N17" s="37" t="str">
        <f>IF('10'!$A$12="","",'10'!$A$12)</f>
        <v/>
      </c>
      <c r="O17" s="37"/>
      <c r="P17" s="37"/>
      <c r="Q17" s="37"/>
      <c r="R17" s="37"/>
      <c r="S17" s="37"/>
    </row>
    <row r="18" spans="1:19">
      <c r="A18" s="43">
        <v>11</v>
      </c>
      <c r="B18" s="383">
        <f t="shared" si="0"/>
        <v>2</v>
      </c>
      <c r="C18" s="11">
        <v>0.5</v>
      </c>
      <c r="D18" s="11">
        <v>0.25</v>
      </c>
      <c r="E18" s="11">
        <v>0.5</v>
      </c>
      <c r="F18" s="11">
        <v>0.75</v>
      </c>
      <c r="G18" s="11"/>
      <c r="H18" s="11"/>
      <c r="I18" s="11"/>
      <c r="J18" s="10" t="str">
        <f t="shared" ca="1" si="1"/>
        <v>Incomplete</v>
      </c>
      <c r="L18" s="14">
        <f t="shared" si="2"/>
        <v>11</v>
      </c>
      <c r="M18" s="37" t="str">
        <f>IF('11'!$A$24="","",'11'!$A$24)</f>
        <v/>
      </c>
      <c r="N18" s="37" t="str">
        <f>IF('11'!$A$28="","",'11'!$A$28)</f>
        <v/>
      </c>
      <c r="O18" s="37" t="str">
        <f>IF('11'!$A$32="","",'11'!$A$32)</f>
        <v/>
      </c>
      <c r="P18" s="37" t="str">
        <f>IF('11'!$A$36="","",'11'!$A$36)</f>
        <v/>
      </c>
      <c r="Q18" s="37"/>
      <c r="R18" s="37"/>
      <c r="S18" s="37"/>
    </row>
    <row r="19" spans="1:19">
      <c r="A19" s="43">
        <v>12</v>
      </c>
      <c r="B19" s="383">
        <f t="shared" si="0"/>
        <v>3.25</v>
      </c>
      <c r="C19" s="11">
        <v>3.25</v>
      </c>
      <c r="D19" s="11"/>
      <c r="E19" s="11"/>
      <c r="F19" s="11"/>
      <c r="G19" s="11"/>
      <c r="H19" s="11"/>
      <c r="I19" s="11"/>
      <c r="J19" s="10" t="str">
        <f t="shared" ca="1" si="1"/>
        <v>Incomplete</v>
      </c>
      <c r="L19" s="14">
        <f t="shared" si="2"/>
        <v>12</v>
      </c>
      <c r="M19" s="37" t="str">
        <f>IF('12'!$A$44="","",'12'!$A$44)</f>
        <v/>
      </c>
      <c r="N19" s="37"/>
      <c r="O19" s="37"/>
      <c r="P19" s="37"/>
      <c r="Q19" s="37"/>
      <c r="R19" s="37"/>
      <c r="S19" s="37"/>
    </row>
    <row r="20" spans="1:19">
      <c r="A20" s="43">
        <v>13</v>
      </c>
      <c r="B20" s="383">
        <f t="shared" si="0"/>
        <v>2.25</v>
      </c>
      <c r="C20" s="11">
        <v>1.5</v>
      </c>
      <c r="D20" s="11">
        <v>0.5</v>
      </c>
      <c r="E20" s="11">
        <v>0.25</v>
      </c>
      <c r="F20" s="11"/>
      <c r="G20" s="11"/>
      <c r="H20" s="11"/>
      <c r="I20" s="11"/>
      <c r="J20" s="10" t="str">
        <f t="shared" ca="1" si="1"/>
        <v>Incomplete</v>
      </c>
      <c r="L20" s="14">
        <f t="shared" si="2"/>
        <v>13</v>
      </c>
      <c r="M20" s="37" t="str">
        <f>IF('10'!$A$8="","",'10'!$A$8)</f>
        <v/>
      </c>
      <c r="N20" s="37" t="str">
        <f>IF('10'!$A$19="","",'10'!$A$19)</f>
        <v/>
      </c>
      <c r="O20" s="37" t="str">
        <f>IF('10'!$A$24="","",'10'!$A$24)</f>
        <v/>
      </c>
      <c r="P20" s="37"/>
      <c r="Q20" s="37"/>
      <c r="R20" s="37"/>
      <c r="S20" s="37"/>
    </row>
    <row r="21" spans="1:19">
      <c r="A21" s="43">
        <v>14</v>
      </c>
      <c r="B21" s="383">
        <f t="shared" si="0"/>
        <v>1.25</v>
      </c>
      <c r="C21" s="11">
        <v>1.25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/>
      <c r="J21" s="10" t="str">
        <f t="shared" ca="1" si="1"/>
        <v>Incomplete</v>
      </c>
      <c r="L21" s="14">
        <f t="shared" si="2"/>
        <v>14</v>
      </c>
      <c r="M21" s="37" t="str">
        <f>IF('11'!$A$24="","",'11'!$A$24)</f>
        <v/>
      </c>
      <c r="N21" s="37" t="str">
        <f>IF('11'!$A$28="","",'11'!$A$28)</f>
        <v/>
      </c>
      <c r="O21" s="37" t="str">
        <f>IF('11'!$A$32="","",'11'!$A$32)</f>
        <v/>
      </c>
      <c r="P21" s="37" t="str">
        <f>IF('11'!$A$36="","",'11'!$A$36)</f>
        <v/>
      </c>
      <c r="Q21" s="37"/>
      <c r="R21" s="37"/>
      <c r="S21" s="37"/>
    </row>
    <row r="22" spans="1:19">
      <c r="A22" s="43">
        <v>15</v>
      </c>
      <c r="B22" s="383">
        <f t="shared" si="0"/>
        <v>3.5</v>
      </c>
      <c r="C22" s="11">
        <v>1.5</v>
      </c>
      <c r="D22" s="11">
        <v>1</v>
      </c>
      <c r="E22" s="11">
        <v>1</v>
      </c>
      <c r="F22" s="11"/>
      <c r="G22" s="11"/>
      <c r="H22" s="11"/>
      <c r="I22" s="11"/>
      <c r="J22" s="10" t="str">
        <f t="shared" ca="1" si="1"/>
        <v>Incomplete</v>
      </c>
      <c r="L22" s="14">
        <f t="shared" si="2"/>
        <v>15</v>
      </c>
      <c r="M22" s="37" t="str">
        <f>IF('12'!$A$18="","",'12'!$A$18)</f>
        <v/>
      </c>
      <c r="N22" s="37" t="str">
        <f>IF('12'!$A$22="","",'12'!$A$22)</f>
        <v/>
      </c>
      <c r="O22" s="37" t="str">
        <f>IF('12'!$A$26="","",'12'!$A$26)</f>
        <v/>
      </c>
      <c r="P22" s="37"/>
      <c r="Q22" s="37"/>
      <c r="R22" s="37"/>
      <c r="S22" s="37"/>
    </row>
    <row r="23" spans="1:19">
      <c r="A23" s="43">
        <v>16</v>
      </c>
      <c r="B23" s="383">
        <f t="shared" si="0"/>
        <v>3</v>
      </c>
      <c r="C23" s="11">
        <v>1.5</v>
      </c>
      <c r="D23" s="11">
        <v>1.5</v>
      </c>
      <c r="E23" s="11"/>
      <c r="F23" s="11"/>
      <c r="G23" s="11"/>
      <c r="H23" s="11"/>
      <c r="I23" s="11"/>
      <c r="J23" s="10" t="str">
        <f t="shared" ca="1" si="1"/>
        <v>Incomplete</v>
      </c>
      <c r="L23" s="14">
        <f t="shared" si="2"/>
        <v>16</v>
      </c>
      <c r="M23" s="37" t="str">
        <f>IF('16'!$A$8="","",'16'!$A$8)</f>
        <v/>
      </c>
      <c r="N23" s="37" t="str">
        <f>IF('16'!$A$24="","",'16'!$A$24)</f>
        <v/>
      </c>
      <c r="O23" s="37"/>
      <c r="P23" s="37"/>
      <c r="Q23" s="37"/>
      <c r="R23" s="37"/>
      <c r="S23" s="37"/>
    </row>
    <row r="24" spans="1:19">
      <c r="A24" s="43">
        <v>17</v>
      </c>
      <c r="B24" s="383">
        <f t="shared" si="0"/>
        <v>7.75</v>
      </c>
      <c r="C24" s="11">
        <v>2.25</v>
      </c>
      <c r="D24" s="11">
        <v>5</v>
      </c>
      <c r="E24" s="11">
        <v>0.5</v>
      </c>
      <c r="F24" s="11"/>
      <c r="G24" s="11"/>
      <c r="H24" s="11"/>
      <c r="I24" s="11"/>
      <c r="J24" s="10" t="str">
        <f t="shared" ca="1" si="1"/>
        <v>Incomplete</v>
      </c>
      <c r="L24" s="14">
        <f t="shared" si="2"/>
        <v>17</v>
      </c>
      <c r="M24" s="37" t="str">
        <f>IF('17'!$A$8="","",'17'!$A$8)</f>
        <v/>
      </c>
      <c r="N24" s="37" t="str">
        <f>IF('17'!$A$33="","",'17'!$A$33)</f>
        <v/>
      </c>
      <c r="O24" s="37" t="str">
        <f>IF('17'!$A$76="","",'17'!$A$76)</f>
        <v/>
      </c>
      <c r="P24" s="37"/>
      <c r="Q24" s="37"/>
      <c r="R24" s="37"/>
      <c r="S24" s="37"/>
    </row>
    <row r="25" spans="1:19">
      <c r="A25" s="43">
        <v>18</v>
      </c>
      <c r="B25" s="383">
        <f t="shared" si="0"/>
        <v>4</v>
      </c>
      <c r="C25" s="11">
        <v>1.75</v>
      </c>
      <c r="D25" s="11">
        <v>1</v>
      </c>
      <c r="E25" s="11">
        <v>0.5</v>
      </c>
      <c r="F25" s="11">
        <v>0.75</v>
      </c>
      <c r="G25" s="11"/>
      <c r="H25" s="11"/>
      <c r="I25" s="11"/>
      <c r="J25" s="10" t="str">
        <f t="shared" ca="1" si="1"/>
        <v>Incomplete</v>
      </c>
      <c r="L25" s="14">
        <f t="shared" si="2"/>
        <v>18</v>
      </c>
      <c r="M25" s="37" t="str">
        <f>IF('18'!$A$37="","",'18'!$A$37)</f>
        <v/>
      </c>
      <c r="N25" s="37" t="str">
        <f>IF('18'!$A$43="","",'18'!$A$43)</f>
        <v/>
      </c>
      <c r="O25" s="37" t="str">
        <f>IF('18'!$A$47="","",'18'!$A$47)</f>
        <v/>
      </c>
      <c r="P25" s="37" t="str">
        <f>IF('18'!$A$51="","",'18'!$A$51)</f>
        <v/>
      </c>
      <c r="Q25" s="37"/>
      <c r="R25" s="37"/>
      <c r="S25" s="37"/>
    </row>
    <row r="26" spans="1:19">
      <c r="A26" s="43">
        <v>19</v>
      </c>
      <c r="B26" s="383">
        <f t="shared" si="0"/>
        <v>5.25</v>
      </c>
      <c r="C26" s="11">
        <v>0.5</v>
      </c>
      <c r="D26" s="11">
        <v>2</v>
      </c>
      <c r="E26" s="11">
        <v>0.5</v>
      </c>
      <c r="F26" s="11">
        <v>0.5</v>
      </c>
      <c r="G26" s="11">
        <v>0.75</v>
      </c>
      <c r="H26" s="11">
        <v>1</v>
      </c>
      <c r="I26" s="11"/>
      <c r="J26" s="10" t="str">
        <f t="shared" ca="1" si="1"/>
        <v>Incomplete</v>
      </c>
      <c r="L26" s="14">
        <f t="shared" si="2"/>
        <v>19</v>
      </c>
      <c r="M26" s="37" t="str">
        <f>IF('19'!$A$8="","",'19'!$A$8)</f>
        <v/>
      </c>
      <c r="N26" s="37" t="str">
        <f>IF('19'!$A$12="","",'19'!$A$12)</f>
        <v/>
      </c>
      <c r="O26" s="37" t="str">
        <f>IF('19'!$A$33="","",'19'!$A$33)</f>
        <v/>
      </c>
      <c r="P26" s="37" t="str">
        <f>IF('19'!$A$37="","",'19'!$A$37)</f>
        <v/>
      </c>
      <c r="Q26" s="37" t="str">
        <f>IF('19'!$A$41="","",'19'!$A$41)</f>
        <v/>
      </c>
      <c r="R26" s="37" t="str">
        <f>IF('19'!$A$45="","",'19'!$A$45)</f>
        <v/>
      </c>
      <c r="S26" s="37"/>
    </row>
    <row r="27" spans="1:19">
      <c r="A27" s="43">
        <v>20</v>
      </c>
      <c r="B27" s="382">
        <f t="shared" si="0"/>
        <v>2.5</v>
      </c>
      <c r="C27" s="11">
        <v>1.5</v>
      </c>
      <c r="D27" s="11">
        <v>1</v>
      </c>
      <c r="E27" s="11"/>
      <c r="F27" s="11"/>
      <c r="G27" s="11"/>
      <c r="H27" s="11"/>
      <c r="I27" s="11"/>
      <c r="J27" s="10" t="str">
        <f t="shared" ref="J27:J34" ca="1" si="3">INDIRECT("'"&amp;A27&amp;"'!B1")</f>
        <v>Incomplete</v>
      </c>
      <c r="L27" s="14">
        <f t="shared" ref="L27:L34" si="4">A27</f>
        <v>20</v>
      </c>
      <c r="M27" s="37" t="str">
        <f>IF('20'!$A$8="","",'20'!$A$8)</f>
        <v/>
      </c>
      <c r="N27" s="37" t="str">
        <f>IF('20'!$A$12="","",'20'!$A$12)</f>
        <v/>
      </c>
      <c r="O27" s="37"/>
      <c r="P27" s="37"/>
      <c r="Q27" s="37"/>
      <c r="R27" s="37"/>
      <c r="S27" s="37"/>
    </row>
    <row r="28" spans="1:19">
      <c r="A28" s="43">
        <v>21</v>
      </c>
      <c r="B28" s="382">
        <f t="shared" si="0"/>
        <v>3.75</v>
      </c>
      <c r="C28" s="11">
        <v>2.5</v>
      </c>
      <c r="D28" s="11">
        <v>0.5</v>
      </c>
      <c r="E28" s="11">
        <v>0.5</v>
      </c>
      <c r="F28" s="11">
        <v>0.25</v>
      </c>
      <c r="G28" s="11">
        <v>0</v>
      </c>
      <c r="H28" s="11">
        <v>0</v>
      </c>
      <c r="I28" s="11"/>
      <c r="J28" s="10" t="str">
        <f t="shared" ca="1" si="3"/>
        <v>Incomplete</v>
      </c>
      <c r="L28" s="14">
        <f t="shared" si="4"/>
        <v>21</v>
      </c>
      <c r="M28" s="37" t="str">
        <f>IF('21'!$A$21="","",'21'!$A$21)</f>
        <v/>
      </c>
      <c r="N28" s="37" t="str">
        <f>IF('21'!$A$25="","",'21'!$A$25)</f>
        <v/>
      </c>
      <c r="O28" s="37" t="str">
        <f>IF('21'!$A$29="","",'21'!$A$29)</f>
        <v/>
      </c>
      <c r="P28" s="37" t="str">
        <f>IF('21'!$A$33="","",'21'!$A$33)</f>
        <v/>
      </c>
      <c r="Q28" s="37" t="str">
        <f>IF('21'!$A$37="","",'21'!$A$37)</f>
        <v/>
      </c>
      <c r="R28" s="37" t="str">
        <f>IF('21'!$A$41="","",'21'!$A$41)</f>
        <v/>
      </c>
      <c r="S28" s="37"/>
    </row>
    <row r="29" spans="1:19">
      <c r="A29" s="43">
        <v>22</v>
      </c>
      <c r="B29" s="383">
        <f t="shared" si="0"/>
        <v>2</v>
      </c>
      <c r="C29" s="11">
        <v>1.5</v>
      </c>
      <c r="D29" s="11">
        <v>0.5</v>
      </c>
      <c r="E29" s="11">
        <v>0</v>
      </c>
      <c r="F29" s="11">
        <v>0</v>
      </c>
      <c r="G29" s="11">
        <v>0</v>
      </c>
      <c r="H29" s="11">
        <v>0</v>
      </c>
      <c r="I29" s="11"/>
      <c r="J29" s="10" t="str">
        <f t="shared" ca="1" si="3"/>
        <v>Incomplete</v>
      </c>
      <c r="L29" s="14">
        <f t="shared" si="4"/>
        <v>22</v>
      </c>
      <c r="M29" s="37" t="str">
        <f>IF('22'!$A$8="","",'22'!$A$8)</f>
        <v/>
      </c>
      <c r="N29" s="37" t="str">
        <f>IF('22'!$A$12="","",'22'!$A$12)</f>
        <v/>
      </c>
      <c r="O29" s="37" t="str">
        <f>IF('22'!$A$16="","",'22'!$A$16)</f>
        <v/>
      </c>
      <c r="P29" s="37" t="str">
        <f>IF('22'!$A$20="","",'22'!$A$20)</f>
        <v/>
      </c>
      <c r="Q29" s="37" t="str">
        <f>IF('22'!$A$24="","",'22'!$A$24)</f>
        <v/>
      </c>
      <c r="R29" s="37" t="str">
        <f>IF('22'!$A$28="","",'22'!$A$28)</f>
        <v/>
      </c>
      <c r="S29" s="37"/>
    </row>
    <row r="30" spans="1:19">
      <c r="A30" s="39">
        <v>23</v>
      </c>
      <c r="B30" s="382">
        <f t="shared" si="0"/>
        <v>4</v>
      </c>
      <c r="C30" s="11">
        <v>1</v>
      </c>
      <c r="D30" s="11">
        <v>1.25</v>
      </c>
      <c r="E30" s="11">
        <v>1.25</v>
      </c>
      <c r="F30" s="11">
        <v>0.5</v>
      </c>
      <c r="G30" s="11">
        <v>0</v>
      </c>
      <c r="H30" s="11">
        <v>0</v>
      </c>
      <c r="I30" s="11"/>
      <c r="J30" s="10" t="str">
        <f t="shared" ca="1" si="3"/>
        <v>Incomplete</v>
      </c>
      <c r="L30" s="14">
        <f t="shared" si="4"/>
        <v>23</v>
      </c>
      <c r="M30" s="37" t="str">
        <f>IF('23'!$A$9="","",'23'!$A$9)</f>
        <v/>
      </c>
      <c r="N30" s="37" t="str">
        <f>IF('23'!$A$13="","",'23'!$A$13)</f>
        <v/>
      </c>
      <c r="O30" s="37" t="str">
        <f>IF('23'!$A$17="","",'23'!$A$17)</f>
        <v/>
      </c>
      <c r="P30" s="37" t="str">
        <f>IF('23'!$A$22="","",'23'!$A$22)</f>
        <v/>
      </c>
      <c r="Q30" s="37" t="str">
        <f>IF('23'!$A$26="","",'23'!$A$26)</f>
        <v/>
      </c>
      <c r="R30" s="37" t="str">
        <f>IF('23'!$A$30="","",'23'!$A$30)</f>
        <v/>
      </c>
      <c r="S30" s="37"/>
    </row>
    <row r="31" spans="1:19">
      <c r="A31" s="39">
        <v>24</v>
      </c>
      <c r="B31" s="382">
        <f t="shared" si="0"/>
        <v>2.5</v>
      </c>
      <c r="C31" s="11">
        <v>0.5</v>
      </c>
      <c r="D31" s="11">
        <v>0.5</v>
      </c>
      <c r="E31" s="11">
        <v>0.75</v>
      </c>
      <c r="F31" s="11">
        <v>0.75</v>
      </c>
      <c r="G31" s="11"/>
      <c r="H31" s="11"/>
      <c r="I31" s="11"/>
      <c r="J31" s="10" t="str">
        <f t="shared" ca="1" si="3"/>
        <v>Incomplete</v>
      </c>
      <c r="L31" s="14">
        <f t="shared" si="4"/>
        <v>24</v>
      </c>
      <c r="M31" s="37" t="str">
        <f>IF('24'!$A$8="","",'24'!$A$8)</f>
        <v/>
      </c>
      <c r="N31" s="37" t="str">
        <f>IF('24'!$A$12="","",'24'!$A$12)</f>
        <v/>
      </c>
      <c r="O31" s="37" t="str">
        <f>IF('24'!$A$20="","",'24'!$A$20)</f>
        <v/>
      </c>
      <c r="P31" s="37" t="str">
        <f>IF('24'!$A$24="","",'24'!$A$24)</f>
        <v/>
      </c>
      <c r="Q31" s="37"/>
      <c r="R31" s="37"/>
      <c r="S31" s="37"/>
    </row>
    <row r="32" spans="1:19">
      <c r="A32" s="43">
        <v>25</v>
      </c>
      <c r="B32" s="382">
        <f t="shared" si="0"/>
        <v>2.75</v>
      </c>
      <c r="C32" s="11">
        <v>0.75</v>
      </c>
      <c r="D32" s="11">
        <v>0.5</v>
      </c>
      <c r="E32" s="11">
        <v>1.5</v>
      </c>
      <c r="F32" s="11"/>
      <c r="G32" s="11"/>
      <c r="H32" s="11"/>
      <c r="I32" s="11"/>
      <c r="J32" s="10" t="str">
        <f t="shared" ca="1" si="3"/>
        <v>Incomplete</v>
      </c>
      <c r="L32" s="14">
        <f t="shared" si="4"/>
        <v>25</v>
      </c>
      <c r="M32" s="37" t="str">
        <f>IF('24'!$A$8="","",'24'!$A$8)</f>
        <v/>
      </c>
      <c r="N32" s="37" t="str">
        <f>IF('24'!$A$12="","",'24'!$A$12)</f>
        <v/>
      </c>
      <c r="O32" s="37" t="str">
        <f>IF('24'!$A$16="","",'24'!$A$16)</f>
        <v/>
      </c>
      <c r="P32" s="37" t="str">
        <f>IF('24'!$A$24="","",'24'!$A$24)</f>
        <v/>
      </c>
      <c r="Q32" s="37" t="str">
        <f>IF('25'!$A$31="","",'25'!$A$31)</f>
        <v/>
      </c>
      <c r="R32" s="37" t="str">
        <f>IF('25'!$A$35="","",'25'!$A$35)</f>
        <v/>
      </c>
      <c r="S32" s="37"/>
    </row>
    <row r="33" spans="1:20">
      <c r="A33" s="43">
        <v>26</v>
      </c>
      <c r="B33" s="383">
        <f t="shared" si="0"/>
        <v>1.5</v>
      </c>
      <c r="C33" s="11">
        <v>0.75</v>
      </c>
      <c r="D33" s="11">
        <v>0.75</v>
      </c>
      <c r="E33" s="11">
        <v>0</v>
      </c>
      <c r="F33" s="11">
        <v>0</v>
      </c>
      <c r="G33" s="11">
        <v>0</v>
      </c>
      <c r="H33" s="11">
        <v>0</v>
      </c>
      <c r="I33" s="11"/>
      <c r="J33" s="10" t="str">
        <f t="shared" ca="1" si="3"/>
        <v>Incomplete</v>
      </c>
      <c r="L33" s="14">
        <f t="shared" si="4"/>
        <v>26</v>
      </c>
      <c r="M33" s="37" t="str">
        <f>IF('26'!$A$12="","",'26'!$A$12)</f>
        <v/>
      </c>
      <c r="N33" s="37" t="str">
        <f>IF('26'!$A$16="","",'26'!$A$16)</f>
        <v/>
      </c>
      <c r="O33" s="49"/>
      <c r="P33" s="49"/>
      <c r="Q33" s="49"/>
      <c r="R33" s="49"/>
      <c r="S33" s="37"/>
    </row>
    <row r="34" spans="1:20">
      <c r="A34" s="43">
        <v>27</v>
      </c>
      <c r="B34" s="383">
        <f t="shared" si="0"/>
        <v>3</v>
      </c>
      <c r="C34" s="11">
        <v>1</v>
      </c>
      <c r="D34" s="11">
        <v>1</v>
      </c>
      <c r="E34" s="11">
        <v>0.5</v>
      </c>
      <c r="F34" s="11">
        <v>0.5</v>
      </c>
      <c r="G34" s="11"/>
      <c r="H34" s="11"/>
      <c r="I34" s="11"/>
      <c r="J34" s="10" t="str">
        <f t="shared" ca="1" si="3"/>
        <v>Incomplete</v>
      </c>
      <c r="L34" s="14">
        <f t="shared" si="4"/>
        <v>27</v>
      </c>
      <c r="M34" s="37" t="str">
        <f>IF('27'!$A$8="","",'27'!$A$8)</f>
        <v/>
      </c>
      <c r="N34" s="37" t="str">
        <f>IF('27'!$A$12="","",'27'!$A$12)</f>
        <v/>
      </c>
      <c r="O34" s="37" t="str">
        <f>IF('27'!$A$16="","",'27'!$A$16)</f>
        <v/>
      </c>
      <c r="P34" s="37" t="str">
        <f>IF('27'!$A$20="","",'27'!$A$20)</f>
        <v/>
      </c>
      <c r="Q34" s="37"/>
      <c r="R34" s="37"/>
      <c r="S34" s="37"/>
    </row>
    <row r="35" spans="1:20">
      <c r="T35" s="38"/>
    </row>
    <row r="36" spans="1:20">
      <c r="T36" s="38"/>
    </row>
    <row r="37" spans="1:20">
      <c r="T37" s="38"/>
    </row>
    <row r="38" spans="1:20">
      <c r="T38" s="38"/>
    </row>
  </sheetData>
  <mergeCells count="1">
    <mergeCell ref="B6:B7"/>
  </mergeCells>
  <conditionalFormatting sqref="J8:J34">
    <cfRule type="cellIs" dxfId="127" priority="470" operator="equal">
      <formula>"Finished"</formula>
    </cfRule>
    <cfRule type="cellIs" dxfId="126" priority="471" operator="equal">
      <formula>"Flag for Review"</formula>
    </cfRule>
    <cfRule type="cellIs" dxfId="125" priority="472" operator="equal">
      <formula>"Incomplete"</formula>
    </cfRule>
  </conditionalFormatting>
  <conditionalFormatting sqref="P2">
    <cfRule type="expression" dxfId="124" priority="309">
      <formula>LEN(P2)=0</formula>
    </cfRule>
    <cfRule type="cellIs" dxfId="123" priority="467" operator="greaterThanOrEqual">
      <formula>0.75</formula>
    </cfRule>
    <cfRule type="cellIs" dxfId="122" priority="468" operator="greaterThanOrEqual">
      <formula>0.65</formula>
    </cfRule>
    <cfRule type="cellIs" dxfId="121" priority="469" operator="greaterThanOrEqual">
      <formula>0</formula>
    </cfRule>
  </conditionalFormatting>
  <conditionalFormatting sqref="C8:E8 I8:I9 H10:I10 C11:I11 F12:I12 G25:I25 E27:I27 C13:I24 C28:I34">
    <cfRule type="containsBlanks" dxfId="120" priority="473">
      <formula>LEN(TRIM(C8))=0</formula>
    </cfRule>
  </conditionalFormatting>
  <conditionalFormatting sqref="S11 M18 M12:S12 M13:N13 S13 O18:S18 M8:S10 M14:S17 M19:S32 M33:N33 S33 M34:S34">
    <cfRule type="expression" dxfId="119" priority="282">
      <formula>C8=""</formula>
    </cfRule>
    <cfRule type="expression" dxfId="118" priority="283">
      <formula>M8/C8&gt;=0.75</formula>
    </cfRule>
    <cfRule type="expression" dxfId="117" priority="284">
      <formula>M8/C8&gt;=0.65</formula>
    </cfRule>
    <cfRule type="expression" dxfId="116" priority="285">
      <formula>M8/C8&gt;=0</formula>
    </cfRule>
  </conditionalFormatting>
  <conditionalFormatting sqref="M11:O11 M12:R12 M13:N13 P20:S20 M14:R32 M34:R34 M33:N33">
    <cfRule type="expression" dxfId="115" priority="250">
      <formula>C11=""</formula>
    </cfRule>
    <cfRule type="expression" dxfId="114" priority="251">
      <formula>M11/C11&gt;=0.75</formula>
    </cfRule>
    <cfRule type="expression" dxfId="113" priority="252">
      <formula>M11/C11&gt;=0.65</formula>
    </cfRule>
    <cfRule type="expression" dxfId="112" priority="253">
      <formula>M11/C11&gt;=0</formula>
    </cfRule>
  </conditionalFormatting>
  <conditionalFormatting sqref="C9:E9">
    <cfRule type="containsBlanks" dxfId="111" priority="29">
      <formula>LEN(TRIM(C9))=0</formula>
    </cfRule>
  </conditionalFormatting>
  <conditionalFormatting sqref="F8:H8">
    <cfRule type="containsBlanks" dxfId="110" priority="28">
      <formula>LEN(TRIM(F8))=0</formula>
    </cfRule>
  </conditionalFormatting>
  <conditionalFormatting sqref="F9">
    <cfRule type="containsBlanks" dxfId="109" priority="27">
      <formula>LEN(TRIM(F9))=0</formula>
    </cfRule>
  </conditionalFormatting>
  <conditionalFormatting sqref="G9:H9">
    <cfRule type="containsBlanks" dxfId="108" priority="26">
      <formula>LEN(TRIM(G9))=0</formula>
    </cfRule>
  </conditionalFormatting>
  <conditionalFormatting sqref="C10:G10">
    <cfRule type="containsBlanks" dxfId="107" priority="25">
      <formula>LEN(TRIM(C10))=0</formula>
    </cfRule>
  </conditionalFormatting>
  <conditionalFormatting sqref="P11:R11">
    <cfRule type="expression" dxfId="106" priority="21">
      <formula>F11=""</formula>
    </cfRule>
    <cfRule type="expression" dxfId="105" priority="22">
      <formula>P11/F11&gt;=0.75</formula>
    </cfRule>
    <cfRule type="expression" dxfId="104" priority="23">
      <formula>P11/F11&gt;=0.65</formula>
    </cfRule>
    <cfRule type="expression" dxfId="103" priority="24">
      <formula>P11/F11&gt;=0</formula>
    </cfRule>
  </conditionalFormatting>
  <conditionalFormatting sqref="C12:E12">
    <cfRule type="containsBlanks" dxfId="102" priority="20">
      <formula>LEN(TRIM(C12))=0</formula>
    </cfRule>
  </conditionalFormatting>
  <conditionalFormatting sqref="R13">
    <cfRule type="expression" dxfId="101" priority="4">
      <formula>H13=""</formula>
    </cfRule>
    <cfRule type="expression" dxfId="100" priority="5">
      <formula>R13/H13&gt;=0.75</formula>
    </cfRule>
    <cfRule type="expression" dxfId="99" priority="6">
      <formula>R13/H13&gt;=0.65</formula>
    </cfRule>
    <cfRule type="expression" dxfId="98" priority="7">
      <formula>R13/H13&gt;=0</formula>
    </cfRule>
  </conditionalFormatting>
  <conditionalFormatting sqref="C25:F25">
    <cfRule type="containsBlanks" dxfId="97" priority="3">
      <formula>LEN(TRIM(C25))=0</formula>
    </cfRule>
  </conditionalFormatting>
  <conditionalFormatting sqref="C27:D27">
    <cfRule type="containsBlanks" dxfId="96" priority="2">
      <formula>LEN(TRIM(C27))=0</formula>
    </cfRule>
  </conditionalFormatting>
  <conditionalFormatting sqref="C26:I26">
    <cfRule type="containsBlanks" dxfId="95" priority="1">
      <formula>LEN(TRIM(C26))=0</formula>
    </cfRule>
  </conditionalFormatting>
  <hyperlinks>
    <hyperlink ref="L8" location="'1'!A1" display="'1'!A1"/>
    <hyperlink ref="L9" location="'2'!A1" display="'2'!A1"/>
    <hyperlink ref="L10" location="'3'!A1" display="'3'!A1"/>
    <hyperlink ref="L11" location="'4'!A1" display="'4'!A1"/>
    <hyperlink ref="L12" location="'5'!A1" display="'5'!A1"/>
    <hyperlink ref="L13" location="'6'!A1" display="'6'!A1"/>
    <hyperlink ref="L14" location="'7'!A1" display="'7'!A1"/>
    <hyperlink ref="L15" location="'8'!A1" display="'8'!A1"/>
    <hyperlink ref="L16" location="'9'!A1" display="'9'!A1"/>
    <hyperlink ref="L17" location="'10'!A1" display="'10'!A1"/>
    <hyperlink ref="L18" location="'11'!A1" display="'11'!A1"/>
    <hyperlink ref="L19" location="'12'!A1" display="'12'!A1"/>
    <hyperlink ref="L20" location="'13'!A1" display="'13'!A1"/>
    <hyperlink ref="L21" location="'14'!A1" display="'14'!A1"/>
    <hyperlink ref="L22" location="'15'!A1" display="'15'!A1"/>
    <hyperlink ref="L23" location="'16'!A1" display="'16'!A1"/>
    <hyperlink ref="L24" location="'17'!A1" display="'17'!A1"/>
    <hyperlink ref="L25" location="'18'!A1" display="'18'!A1"/>
    <hyperlink ref="A8" location="'1'!A1" display="'1'!A1"/>
    <hyperlink ref="A9" location="'2'!A1" display="'2'!A1"/>
    <hyperlink ref="A10" location="'3'!A1" display="'3'!A1"/>
    <hyperlink ref="A11" location="'4'!A1" display="'4'!A1"/>
    <hyperlink ref="A12" location="'5'!A1" display="'5'!A1"/>
    <hyperlink ref="A13" location="'6'!A1" display="'6'!A1"/>
    <hyperlink ref="A14" location="'7'!A1" display="'7'!A1"/>
    <hyperlink ref="A15" location="'8'!A1" display="'8'!A1"/>
    <hyperlink ref="A16" location="'9'!A1" display="'9'!A1"/>
    <hyperlink ref="A17" location="'10'!A1" display="'10'!A1"/>
    <hyperlink ref="A18" location="'11'!A1" display="'11'!A1"/>
    <hyperlink ref="A19" location="'12'!A1" display="'12'!A1"/>
    <hyperlink ref="A20" location="'13'!A1" display="'13'!A1"/>
    <hyperlink ref="A21" location="'14'!A1" display="'14'!A1"/>
    <hyperlink ref="A22" location="'15'!A1" display="'15'!A1"/>
    <hyperlink ref="A23" location="'16'!A1" display="'16'!A1"/>
    <hyperlink ref="A24" location="'17'!A1" display="'17'!A1"/>
    <hyperlink ref="A25" location="'18'!A1" display="'18'!A1"/>
    <hyperlink ref="L27" location="'20'!A1" display="'20'!A1"/>
    <hyperlink ref="L28" location="'21'!A1" display="'21'!A1"/>
    <hyperlink ref="L29" location="'22'!A1" display="'22'!A1"/>
    <hyperlink ref="L30" location="'23'!A1" display="'23'!A1"/>
    <hyperlink ref="L31" location="'24'!A1" display="'24'!A1"/>
    <hyperlink ref="L32" location="'25'!A1" display="'25'!A1"/>
    <hyperlink ref="L33" location="'26'!A1" display="'26'!A1"/>
    <hyperlink ref="L34" location="'27'!A1" display="'27'!A1"/>
    <hyperlink ref="A26" location="'19'!A1" display="19"/>
    <hyperlink ref="L26" location="'19'!A1" display="'19'!A1"/>
    <hyperlink ref="A27" location="'20'!A1" display="20"/>
    <hyperlink ref="A28" location="'21'!A1" display="21"/>
    <hyperlink ref="A29" location="'22'!A1" display="22"/>
    <hyperlink ref="A30" location="'23'!A1" display="23"/>
    <hyperlink ref="A31" location="'24'!A1" display="24"/>
    <hyperlink ref="A32" location="'25'!A1" display="25"/>
    <hyperlink ref="A33" location="'26'!A1" display="26"/>
    <hyperlink ref="A34" location="'27'!A1" display="27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V92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2">
      <c r="A1" s="7">
        <v>18</v>
      </c>
      <c r="B1" s="32" t="s">
        <v>12</v>
      </c>
      <c r="C1" s="23"/>
      <c r="D1" s="23"/>
      <c r="E1" s="23"/>
      <c r="F1" s="23"/>
      <c r="G1" s="23"/>
      <c r="H1" s="31"/>
      <c r="I1" s="35" t="s">
        <v>30</v>
      </c>
      <c r="K1" s="50" t="s">
        <v>316</v>
      </c>
    </row>
    <row r="2" spans="1:22">
      <c r="A2" s="25"/>
      <c r="B2" s="22"/>
      <c r="C2" s="22"/>
      <c r="D2" s="22"/>
      <c r="E2" s="22"/>
      <c r="F2" s="22"/>
      <c r="G2" s="22"/>
      <c r="H2" s="22"/>
      <c r="I2" s="26"/>
      <c r="K2"/>
      <c r="L2"/>
      <c r="M2" s="54"/>
      <c r="N2" s="54"/>
      <c r="O2" s="54"/>
      <c r="P2" s="54"/>
      <c r="Q2" s="54"/>
      <c r="R2" s="54"/>
      <c r="S2" s="54"/>
      <c r="T2" s="54"/>
      <c r="U2" s="54"/>
      <c r="V2" s="54"/>
    </row>
    <row r="3" spans="1:22" ht="15" customHeight="1">
      <c r="A3" s="8" t="s">
        <v>13</v>
      </c>
      <c r="B3" s="77"/>
      <c r="C3" s="77"/>
      <c r="D3" s="77"/>
      <c r="E3" s="77"/>
      <c r="F3" s="77"/>
      <c r="G3" s="77"/>
      <c r="H3" s="22"/>
      <c r="I3" s="26"/>
      <c r="K3" t="s">
        <v>428</v>
      </c>
      <c r="L3" t="s">
        <v>429</v>
      </c>
      <c r="M3" s="54"/>
      <c r="N3" s="54"/>
      <c r="O3" s="54"/>
      <c r="P3" s="54"/>
      <c r="Q3" s="54"/>
      <c r="R3" s="54"/>
      <c r="S3" s="54"/>
      <c r="T3" s="54"/>
      <c r="U3" s="54"/>
      <c r="V3" s="54"/>
    </row>
    <row r="4" spans="1:22" ht="15" customHeight="1">
      <c r="A4" s="9">
        <f>INDEX('Point Grid'!B:B,MATCH($A$1,'Point Grid'!A:A,0))</f>
        <v>4</v>
      </c>
      <c r="B4" s="77" t="s">
        <v>430</v>
      </c>
      <c r="C4" s="77"/>
      <c r="D4" s="77"/>
      <c r="E4" s="77"/>
      <c r="F4" s="77"/>
      <c r="G4" s="77"/>
      <c r="H4" s="22"/>
      <c r="I4" s="26"/>
      <c r="K4"/>
      <c r="L4" t="s">
        <v>431</v>
      </c>
      <c r="M4" s="54"/>
      <c r="N4" s="54"/>
      <c r="O4" s="54"/>
      <c r="P4" s="54"/>
      <c r="Q4" s="54"/>
      <c r="R4" s="54"/>
      <c r="S4" s="54"/>
      <c r="T4" s="54"/>
      <c r="U4" s="54"/>
      <c r="V4" s="54"/>
    </row>
    <row r="5" spans="1:22" ht="15" customHeight="1">
      <c r="A5" s="25"/>
      <c r="B5" s="77" t="s">
        <v>432</v>
      </c>
      <c r="C5" s="77"/>
      <c r="D5" s="77"/>
      <c r="E5" s="77"/>
      <c r="F5" s="77"/>
      <c r="G5" s="77"/>
      <c r="H5" s="22"/>
      <c r="I5" s="26"/>
      <c r="K5"/>
      <c r="L5" t="s">
        <v>433</v>
      </c>
      <c r="M5" s="54"/>
      <c r="N5" s="54"/>
      <c r="O5" s="54"/>
      <c r="P5" s="54"/>
      <c r="Q5" s="54"/>
      <c r="R5" s="54"/>
      <c r="S5" s="54"/>
      <c r="T5" s="54"/>
      <c r="U5" s="54"/>
      <c r="V5" s="54"/>
    </row>
    <row r="6" spans="1:22" ht="15" customHeight="1">
      <c r="A6" s="29" t="s">
        <v>2</v>
      </c>
      <c r="B6" s="77"/>
      <c r="C6" s="77"/>
      <c r="D6" s="77"/>
      <c r="E6" s="77"/>
      <c r="F6" s="77"/>
      <c r="G6" s="77"/>
      <c r="H6" s="22"/>
      <c r="I6" s="26"/>
      <c r="K6"/>
      <c r="L6" s="78">
        <f>'18'!F27+'18'!F28-'18'!F29</f>
        <v>2200</v>
      </c>
      <c r="M6" s="54"/>
      <c r="N6" s="54"/>
      <c r="O6" s="54"/>
      <c r="P6" s="54"/>
      <c r="Q6" s="54"/>
      <c r="R6" s="54"/>
      <c r="S6" s="54"/>
      <c r="T6" s="54"/>
      <c r="U6" s="54"/>
      <c r="V6" s="54"/>
    </row>
    <row r="7" spans="1:22" ht="15" customHeight="1">
      <c r="A7" s="79"/>
      <c r="B7" s="152"/>
      <c r="C7" s="64"/>
      <c r="D7" s="64"/>
      <c r="E7" s="157"/>
      <c r="F7" s="80" t="s">
        <v>434</v>
      </c>
      <c r="G7" s="81" t="s">
        <v>435</v>
      </c>
      <c r="H7" s="22"/>
      <c r="I7" s="26"/>
      <c r="K7"/>
      <c r="L7" t="s">
        <v>436</v>
      </c>
      <c r="M7" s="54"/>
      <c r="N7" s="54"/>
      <c r="O7" s="54"/>
      <c r="P7" s="54"/>
      <c r="Q7" s="76"/>
      <c r="R7" s="54"/>
      <c r="S7" s="54"/>
      <c r="T7" s="54"/>
      <c r="U7" s="54"/>
      <c r="V7" s="54"/>
    </row>
    <row r="8" spans="1:22" ht="15" customHeight="1">
      <c r="A8" s="79"/>
      <c r="B8" s="153" t="s">
        <v>437</v>
      </c>
      <c r="C8" s="70"/>
      <c r="D8" s="70"/>
      <c r="E8" s="160"/>
      <c r="F8" s="82" t="s">
        <v>438</v>
      </c>
      <c r="G8" s="83" t="s">
        <v>438</v>
      </c>
      <c r="H8" s="22"/>
      <c r="I8" s="26"/>
      <c r="K8"/>
      <c r="L8" s="78">
        <f>'18'!G9+'18'!G10+'18'!G11+'18'!G12</f>
        <v>35000</v>
      </c>
      <c r="M8" s="54"/>
      <c r="N8" s="54"/>
      <c r="O8" s="54"/>
      <c r="P8" s="54"/>
      <c r="Q8" s="54"/>
      <c r="R8" s="54"/>
      <c r="S8" s="54"/>
      <c r="T8" s="54"/>
      <c r="U8" s="54"/>
      <c r="V8" s="54"/>
    </row>
    <row r="9" spans="1:22" ht="15" customHeight="1">
      <c r="A9" s="79"/>
      <c r="B9" s="154" t="s">
        <v>439</v>
      </c>
      <c r="C9" s="77"/>
      <c r="D9" s="77"/>
      <c r="E9" s="158"/>
      <c r="F9" s="84">
        <v>8000</v>
      </c>
      <c r="G9" s="85">
        <v>7000</v>
      </c>
      <c r="H9" s="22"/>
      <c r="I9" s="26"/>
      <c r="K9"/>
      <c r="L9" s="54" t="s">
        <v>440</v>
      </c>
      <c r="M9" s="54"/>
      <c r="N9" s="54"/>
      <c r="O9" s="54"/>
      <c r="P9" s="54"/>
      <c r="Q9" s="54"/>
      <c r="R9" s="54"/>
      <c r="S9" s="54"/>
      <c r="T9" s="54"/>
      <c r="U9" s="54"/>
      <c r="V9" s="54"/>
    </row>
    <row r="10" spans="1:22" ht="15" customHeight="1">
      <c r="A10" s="79"/>
      <c r="B10" s="154" t="s">
        <v>441</v>
      </c>
      <c r="C10" s="77"/>
      <c r="D10" s="77"/>
      <c r="E10" s="158"/>
      <c r="F10" s="86">
        <v>10000</v>
      </c>
      <c r="G10" s="87">
        <v>12000</v>
      </c>
      <c r="H10" s="22"/>
      <c r="I10" s="26"/>
      <c r="K10"/>
      <c r="L10" s="78">
        <f>'18'!F9+'18'!F10+'18'!F11+'18'!F12</f>
        <v>32600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</row>
    <row r="11" spans="1:22" ht="15" customHeight="1">
      <c r="A11" s="79"/>
      <c r="B11" s="154" t="s">
        <v>442</v>
      </c>
      <c r="C11" s="77"/>
      <c r="D11" s="77"/>
      <c r="E11" s="158"/>
      <c r="F11" s="86">
        <v>2600</v>
      </c>
      <c r="G11" s="87">
        <v>2000</v>
      </c>
      <c r="H11" s="22"/>
      <c r="I11" s="26"/>
      <c r="K11"/>
      <c r="L11" t="s">
        <v>443</v>
      </c>
      <c r="M11" s="54"/>
      <c r="N11" s="54"/>
      <c r="O11" s="54"/>
      <c r="P11" s="54"/>
      <c r="Q11" s="54"/>
      <c r="R11" s="54"/>
      <c r="S11" s="54"/>
      <c r="T11" s="54"/>
      <c r="U11" s="54"/>
      <c r="V11" s="54"/>
    </row>
    <row r="12" spans="1:22" ht="15" customHeight="1">
      <c r="A12" s="79"/>
      <c r="B12" s="154" t="s">
        <v>444</v>
      </c>
      <c r="C12" s="77"/>
      <c r="D12" s="77"/>
      <c r="E12" s="158"/>
      <c r="F12" s="86">
        <v>12000</v>
      </c>
      <c r="G12" s="87">
        <v>14000</v>
      </c>
      <c r="H12" s="22"/>
      <c r="I12" s="26"/>
      <c r="K12"/>
      <c r="L12" s="88">
        <f>2*L6/(L8+L10-L6)</f>
        <v>6.7278287461773695E-2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</row>
    <row r="13" spans="1:22" ht="15" customHeight="1">
      <c r="A13" s="79"/>
      <c r="B13" s="154" t="s">
        <v>445</v>
      </c>
      <c r="C13" s="77"/>
      <c r="D13" s="77"/>
      <c r="E13" s="158"/>
      <c r="F13" s="86">
        <v>220</v>
      </c>
      <c r="G13" s="87">
        <v>300</v>
      </c>
      <c r="H13" s="22"/>
      <c r="I13" s="26"/>
      <c r="K13"/>
      <c r="L13"/>
      <c r="M13" s="54"/>
      <c r="N13" s="54"/>
      <c r="O13" s="54"/>
      <c r="P13" s="54"/>
      <c r="Q13" s="54"/>
      <c r="R13" s="54"/>
      <c r="S13" s="54"/>
      <c r="T13" s="54"/>
      <c r="U13" s="54"/>
      <c r="V13" s="54"/>
    </row>
    <row r="14" spans="1:22" ht="15" customHeight="1">
      <c r="A14" s="79"/>
      <c r="B14" s="154" t="s">
        <v>446</v>
      </c>
      <c r="C14" s="77"/>
      <c r="D14" s="77"/>
      <c r="E14" s="158"/>
      <c r="F14" s="86">
        <v>10000</v>
      </c>
      <c r="G14" s="87">
        <v>12000</v>
      </c>
      <c r="H14" s="22"/>
      <c r="I14" s="26"/>
      <c r="K14"/>
      <c r="L14" t="s">
        <v>447</v>
      </c>
      <c r="M14" s="54"/>
      <c r="N14" s="54"/>
      <c r="O14" s="54"/>
      <c r="P14" s="54"/>
      <c r="Q14" s="54"/>
      <c r="R14" s="54"/>
      <c r="S14" s="54"/>
      <c r="T14" s="54"/>
      <c r="U14" s="54"/>
      <c r="V14" s="54"/>
    </row>
    <row r="15" spans="1:22" ht="15" customHeight="1">
      <c r="A15" s="79"/>
      <c r="B15" s="154" t="s">
        <v>448</v>
      </c>
      <c r="C15" s="77"/>
      <c r="D15" s="77"/>
      <c r="E15" s="158"/>
      <c r="F15" s="89" t="s">
        <v>449</v>
      </c>
      <c r="G15" s="90" t="s">
        <v>449</v>
      </c>
      <c r="H15" s="22"/>
      <c r="I15" s="26"/>
      <c r="K15"/>
      <c r="L15" t="s">
        <v>450</v>
      </c>
      <c r="M15" s="54"/>
      <c r="N15" s="54"/>
      <c r="O15" s="54"/>
      <c r="P15" s="54"/>
      <c r="Q15" s="54"/>
      <c r="R15" s="54"/>
      <c r="S15" s="54"/>
      <c r="T15" s="54"/>
      <c r="U15" s="54"/>
      <c r="V15" s="54"/>
    </row>
    <row r="16" spans="1:22" ht="15" customHeight="1">
      <c r="A16" s="79"/>
      <c r="B16" s="154" t="s">
        <v>451</v>
      </c>
      <c r="C16" s="77"/>
      <c r="D16" s="77"/>
      <c r="E16" s="158"/>
      <c r="F16" s="86">
        <v>80000</v>
      </c>
      <c r="G16" s="87">
        <v>75000</v>
      </c>
      <c r="H16" s="22"/>
      <c r="I16" s="26"/>
      <c r="K16"/>
      <c r="L16" s="78">
        <f>L18-'18'!F24-'18'!F25-'18'!F26+'18'!F27+'18'!F28-'18'!F29-'18'!F30</f>
        <v>4112.5</v>
      </c>
      <c r="M16" s="54"/>
      <c r="N16" s="54"/>
      <c r="O16" s="54"/>
      <c r="P16" s="54"/>
      <c r="Q16" s="54"/>
      <c r="R16" s="54"/>
      <c r="S16" s="54"/>
      <c r="T16" s="54"/>
      <c r="U16" s="54"/>
      <c r="V16" s="54"/>
    </row>
    <row r="17" spans="1:22" ht="15" customHeight="1">
      <c r="A17" s="79"/>
      <c r="B17" s="154" t="s">
        <v>452</v>
      </c>
      <c r="C17" s="77"/>
      <c r="D17" s="77"/>
      <c r="E17" s="158"/>
      <c r="F17" s="86">
        <v>40000</v>
      </c>
      <c r="G17" s="87">
        <v>38000</v>
      </c>
      <c r="H17" s="22"/>
      <c r="I17" s="26"/>
      <c r="K17"/>
      <c r="L17" t="s">
        <v>453</v>
      </c>
      <c r="M17" s="54"/>
      <c r="N17" s="54"/>
      <c r="O17" s="54"/>
      <c r="P17" s="54"/>
      <c r="Q17" s="54"/>
      <c r="R17" s="54"/>
      <c r="S17" s="54"/>
      <c r="T17" s="54"/>
      <c r="U17" s="54"/>
      <c r="V17" s="54"/>
    </row>
    <row r="18" spans="1:22" ht="15" customHeight="1">
      <c r="A18" s="79"/>
      <c r="B18" s="155" t="s">
        <v>454</v>
      </c>
      <c r="C18" s="70"/>
      <c r="D18" s="70"/>
      <c r="E18" s="160"/>
      <c r="F18" s="86">
        <v>35000</v>
      </c>
      <c r="G18" s="87">
        <v>32000</v>
      </c>
      <c r="H18" s="22"/>
      <c r="I18" s="26"/>
      <c r="K18"/>
      <c r="L18" s="78">
        <f>'18'!F22+'18'!F23</f>
        <v>41900</v>
      </c>
      <c r="M18" s="54"/>
      <c r="N18" s="54"/>
      <c r="O18" s="54"/>
      <c r="P18" s="54"/>
      <c r="Q18" s="54"/>
      <c r="R18" s="54"/>
      <c r="S18" s="54"/>
      <c r="T18" s="54"/>
      <c r="U18" s="54"/>
      <c r="V18" s="54"/>
    </row>
    <row r="19" spans="1:22" ht="15" customHeight="1">
      <c r="A19" s="79"/>
      <c r="B19" s="154"/>
      <c r="C19" s="77"/>
      <c r="D19" s="77"/>
      <c r="E19" s="158"/>
      <c r="F19" s="91"/>
      <c r="G19" s="156"/>
      <c r="H19" s="22"/>
      <c r="I19" s="26"/>
      <c r="K19"/>
      <c r="L19" t="s">
        <v>455</v>
      </c>
      <c r="M19" s="54"/>
      <c r="N19" s="54"/>
      <c r="O19" s="54"/>
      <c r="P19" s="54"/>
      <c r="Q19" s="54"/>
      <c r="R19" s="54"/>
      <c r="S19" s="54"/>
      <c r="T19" s="54"/>
      <c r="U19" s="54"/>
      <c r="V19" s="54"/>
    </row>
    <row r="20" spans="1:22" ht="15" customHeight="1">
      <c r="A20" s="79"/>
      <c r="B20" s="152"/>
      <c r="C20" s="64"/>
      <c r="D20" s="64"/>
      <c r="E20" s="157"/>
      <c r="F20" s="80" t="s">
        <v>434</v>
      </c>
      <c r="G20" s="81" t="s">
        <v>435</v>
      </c>
      <c r="H20" s="22"/>
      <c r="I20" s="26"/>
      <c r="K20"/>
      <c r="L20" s="88">
        <f>L16/'18'!F18</f>
        <v>0.11749999999999999</v>
      </c>
      <c r="M20" s="54"/>
      <c r="N20" s="54"/>
      <c r="O20" s="54"/>
      <c r="P20" s="54"/>
      <c r="Q20" s="54"/>
      <c r="R20" s="54"/>
      <c r="S20" s="54"/>
      <c r="T20" s="54"/>
      <c r="U20" s="54"/>
      <c r="V20" s="54"/>
    </row>
    <row r="21" spans="1:22" ht="15" customHeight="1">
      <c r="A21" s="79"/>
      <c r="B21" s="153" t="s">
        <v>456</v>
      </c>
      <c r="C21" s="70"/>
      <c r="D21" s="70"/>
      <c r="E21" s="160"/>
      <c r="F21" s="82" t="s">
        <v>438</v>
      </c>
      <c r="G21" s="83" t="s">
        <v>438</v>
      </c>
      <c r="H21" s="22"/>
      <c r="I21" s="26"/>
      <c r="K21"/>
      <c r="L21"/>
      <c r="M21" s="54"/>
      <c r="N21" s="54"/>
      <c r="O21" s="54"/>
      <c r="P21" s="54"/>
      <c r="Q21" s="54"/>
      <c r="R21" s="54"/>
      <c r="S21" s="54"/>
      <c r="T21" s="54"/>
      <c r="U21" s="54"/>
      <c r="V21" s="54"/>
    </row>
    <row r="22" spans="1:22" ht="15" customHeight="1">
      <c r="A22" s="79"/>
      <c r="B22" s="154" t="s">
        <v>457</v>
      </c>
      <c r="C22" s="77"/>
      <c r="D22" s="77"/>
      <c r="E22" s="158"/>
      <c r="F22" s="84">
        <v>42000</v>
      </c>
      <c r="G22" s="85">
        <v>40000</v>
      </c>
      <c r="H22" s="22"/>
      <c r="I22" s="26"/>
      <c r="K22"/>
      <c r="L22" t="s">
        <v>458</v>
      </c>
      <c r="M22" s="54"/>
      <c r="N22" s="54"/>
      <c r="O22" s="54"/>
      <c r="P22" s="54"/>
      <c r="Q22" s="54"/>
      <c r="R22" s="54"/>
      <c r="S22" s="54"/>
      <c r="T22" s="54"/>
      <c r="U22" s="54"/>
      <c r="V22" s="54"/>
    </row>
    <row r="23" spans="1:22" ht="15" customHeight="1">
      <c r="A23" s="79"/>
      <c r="B23" s="154" t="s">
        <v>459</v>
      </c>
      <c r="C23" s="77"/>
      <c r="D23" s="77"/>
      <c r="E23" s="158"/>
      <c r="F23" s="86">
        <v>-100</v>
      </c>
      <c r="G23" s="87">
        <v>-100</v>
      </c>
      <c r="H23" s="22"/>
      <c r="I23" s="26"/>
      <c r="K23"/>
      <c r="L23" s="88">
        <f>L16/AVERAGE('18'!F16:G16)</f>
        <v>5.3064516129032256E-2</v>
      </c>
      <c r="M23" s="54"/>
      <c r="N23" s="54"/>
      <c r="O23" s="54"/>
      <c r="P23" s="54"/>
      <c r="Q23" s="54"/>
      <c r="R23" s="54"/>
      <c r="S23" s="54"/>
      <c r="T23" s="54"/>
      <c r="U23" s="54"/>
      <c r="V23" s="54"/>
    </row>
    <row r="24" spans="1:22" ht="15" customHeight="1">
      <c r="A24" s="79"/>
      <c r="B24" s="154" t="s">
        <v>272</v>
      </c>
      <c r="C24" s="77"/>
      <c r="D24" s="77"/>
      <c r="E24" s="158"/>
      <c r="F24" s="86">
        <v>30000</v>
      </c>
      <c r="G24" s="87">
        <v>28000</v>
      </c>
      <c r="H24" s="22"/>
      <c r="I24" s="26"/>
      <c r="K24"/>
      <c r="L24"/>
      <c r="M24" s="54"/>
      <c r="N24" s="54"/>
      <c r="O24" s="54"/>
      <c r="P24" s="54"/>
      <c r="Q24" s="54"/>
      <c r="R24" s="54"/>
      <c r="S24" s="54"/>
      <c r="T24" s="54"/>
      <c r="U24" s="54"/>
      <c r="V24" s="54"/>
    </row>
    <row r="25" spans="1:22" ht="15" customHeight="1">
      <c r="A25" s="79"/>
      <c r="B25" s="154" t="s">
        <v>460</v>
      </c>
      <c r="C25" s="77"/>
      <c r="D25" s="77"/>
      <c r="E25" s="158"/>
      <c r="F25" s="86">
        <v>5000</v>
      </c>
      <c r="G25" s="87">
        <v>5000</v>
      </c>
      <c r="H25" s="22"/>
      <c r="I25" s="26"/>
      <c r="K25"/>
      <c r="L25" t="s">
        <v>461</v>
      </c>
      <c r="M25" s="54"/>
      <c r="N25" s="54"/>
      <c r="O25" s="54"/>
      <c r="P25" s="54"/>
      <c r="Q25" s="54"/>
      <c r="R25" s="54"/>
      <c r="S25" s="54"/>
      <c r="T25" s="54"/>
      <c r="U25" s="54"/>
      <c r="V25" s="54"/>
    </row>
    <row r="26" spans="1:22" ht="15" customHeight="1">
      <c r="A26" s="79"/>
      <c r="B26" s="154" t="s">
        <v>462</v>
      </c>
      <c r="C26" s="77"/>
      <c r="D26" s="77"/>
      <c r="E26" s="158"/>
      <c r="F26" s="86">
        <v>3000</v>
      </c>
      <c r="G26" s="87">
        <v>3200</v>
      </c>
      <c r="H26" s="22"/>
      <c r="I26" s="26"/>
      <c r="K26"/>
      <c r="L26" s="92">
        <f>'18'!F22/'18'!F18</f>
        <v>1.2</v>
      </c>
      <c r="M26" s="54"/>
      <c r="N26" s="54"/>
      <c r="O26" s="54"/>
      <c r="P26" s="54"/>
      <c r="Q26" s="54"/>
      <c r="R26" s="54"/>
      <c r="S26" s="54"/>
      <c r="T26" s="54"/>
      <c r="U26" s="54"/>
      <c r="V26" s="54"/>
    </row>
    <row r="27" spans="1:22" ht="15" customHeight="1">
      <c r="A27" s="79"/>
      <c r="B27" s="154" t="s">
        <v>463</v>
      </c>
      <c r="C27" s="77"/>
      <c r="D27" s="77"/>
      <c r="E27" s="158"/>
      <c r="F27" s="86">
        <v>2500</v>
      </c>
      <c r="G27" s="87">
        <v>1200</v>
      </c>
      <c r="H27" s="22"/>
      <c r="I27" s="26"/>
      <c r="K27"/>
      <c r="L27"/>
      <c r="M27" s="54"/>
      <c r="N27" s="54"/>
      <c r="O27" s="54"/>
      <c r="P27" s="54"/>
      <c r="Q27" s="54"/>
      <c r="R27" s="54"/>
      <c r="S27" s="54"/>
      <c r="T27" s="54"/>
      <c r="U27" s="54"/>
      <c r="V27" s="54"/>
    </row>
    <row r="28" spans="1:22" ht="15" customHeight="1">
      <c r="A28" s="79"/>
      <c r="B28" s="154" t="s">
        <v>464</v>
      </c>
      <c r="C28" s="77"/>
      <c r="D28" s="77"/>
      <c r="E28" s="158"/>
      <c r="F28" s="86">
        <v>200</v>
      </c>
      <c r="G28" s="87">
        <v>-100</v>
      </c>
      <c r="H28" s="22"/>
      <c r="I28" s="26"/>
      <c r="K28" t="s">
        <v>309</v>
      </c>
      <c r="L28" t="s">
        <v>465</v>
      </c>
      <c r="M28" s="54"/>
      <c r="N28" s="54"/>
      <c r="O28" s="54"/>
      <c r="P28" s="54"/>
      <c r="Q28" s="54"/>
      <c r="R28" s="54"/>
      <c r="S28" s="54"/>
      <c r="T28" s="54"/>
      <c r="U28" s="54"/>
      <c r="V28" s="54"/>
    </row>
    <row r="29" spans="1:22" ht="15" customHeight="1">
      <c r="A29" s="79"/>
      <c r="B29" s="154" t="s">
        <v>466</v>
      </c>
      <c r="C29" s="77"/>
      <c r="D29" s="77"/>
      <c r="E29" s="159"/>
      <c r="F29" s="86">
        <v>500</v>
      </c>
      <c r="G29" s="87">
        <v>400</v>
      </c>
      <c r="H29" s="22"/>
      <c r="I29" s="26"/>
      <c r="K29"/>
      <c r="L29" s="62" t="s">
        <v>955</v>
      </c>
      <c r="M29" s="54"/>
      <c r="N29" s="54"/>
      <c r="O29" s="54"/>
      <c r="P29" s="54"/>
      <c r="Q29" s="54"/>
      <c r="R29" s="54"/>
      <c r="S29" s="54"/>
      <c r="T29" s="54"/>
      <c r="U29" s="54"/>
      <c r="V29" s="54"/>
    </row>
    <row r="30" spans="1:22" ht="15" customHeight="1">
      <c r="A30" s="79"/>
      <c r="B30" s="155" t="s">
        <v>467</v>
      </c>
      <c r="C30" s="70"/>
      <c r="D30" s="70"/>
      <c r="E30" s="160"/>
      <c r="F30" s="93">
        <f>1987.5</f>
        <v>1987.5</v>
      </c>
      <c r="G30" s="94">
        <v>1775.5</v>
      </c>
      <c r="H30" s="22"/>
      <c r="I30" s="26"/>
      <c r="K30"/>
      <c r="L30" s="62" t="s">
        <v>468</v>
      </c>
      <c r="M30" s="54"/>
      <c r="N30" s="54"/>
      <c r="O30" s="54"/>
      <c r="P30" s="54"/>
      <c r="Q30" s="54"/>
      <c r="R30" s="54"/>
      <c r="S30" s="54"/>
      <c r="T30" s="54"/>
      <c r="U30" s="54"/>
      <c r="V30" s="54"/>
    </row>
    <row r="31" spans="1:22" ht="15" customHeight="1">
      <c r="A31" s="79"/>
      <c r="B31" s="95"/>
      <c r="C31" s="96"/>
      <c r="D31" s="96"/>
      <c r="E31" s="77"/>
      <c r="F31" s="77"/>
      <c r="G31" s="77"/>
      <c r="H31" s="72"/>
      <c r="I31" s="73"/>
      <c r="K31"/>
      <c r="L31" s="62" t="s">
        <v>469</v>
      </c>
      <c r="M31" s="54"/>
      <c r="N31" s="54"/>
      <c r="O31" s="54"/>
      <c r="P31" s="54"/>
      <c r="Q31" s="54"/>
      <c r="R31" s="54"/>
      <c r="S31" s="54"/>
      <c r="T31" s="54"/>
      <c r="U31" s="54"/>
      <c r="V31" s="54"/>
    </row>
    <row r="32" spans="1:22" ht="15" customHeight="1">
      <c r="A32" s="79"/>
      <c r="B32" s="77" t="s">
        <v>470</v>
      </c>
      <c r="C32" s="77"/>
      <c r="D32" s="77"/>
      <c r="E32" s="77"/>
      <c r="F32" s="97">
        <v>2.1</v>
      </c>
      <c r="G32" s="77"/>
      <c r="H32" s="72"/>
      <c r="I32" s="73"/>
      <c r="K32"/>
      <c r="L32" s="62" t="s">
        <v>956</v>
      </c>
      <c r="M32" s="54"/>
      <c r="N32" s="54"/>
      <c r="O32" s="54"/>
      <c r="P32" s="54"/>
      <c r="Q32" s="54"/>
      <c r="R32" s="54"/>
      <c r="S32" s="54"/>
      <c r="T32" s="54"/>
      <c r="U32" s="54"/>
      <c r="V32" s="54"/>
    </row>
    <row r="33" spans="1:22" ht="15" customHeight="1">
      <c r="A33" s="79"/>
      <c r="B33" s="77" t="s">
        <v>471</v>
      </c>
      <c r="C33" s="77"/>
      <c r="D33" s="77"/>
      <c r="E33" s="77"/>
      <c r="F33" s="77"/>
      <c r="G33" s="77"/>
      <c r="H33" s="72"/>
      <c r="I33" s="73"/>
      <c r="K33"/>
      <c r="L33"/>
      <c r="M33" s="54"/>
      <c r="N33" s="54"/>
      <c r="O33" s="54"/>
      <c r="P33" s="54"/>
      <c r="Q33" s="54"/>
      <c r="R33" s="54"/>
      <c r="S33" s="54"/>
      <c r="T33" s="54"/>
      <c r="U33" s="54"/>
      <c r="V33" s="54"/>
    </row>
    <row r="34" spans="1:22" ht="15" customHeight="1">
      <c r="A34" s="79"/>
      <c r="B34" s="77"/>
      <c r="C34" s="77"/>
      <c r="D34" s="77"/>
      <c r="E34" s="77"/>
      <c r="F34" s="77"/>
      <c r="G34" s="77"/>
      <c r="H34" s="72"/>
      <c r="I34" s="73"/>
      <c r="K34"/>
      <c r="L34"/>
      <c r="M34" s="54"/>
      <c r="N34" s="54"/>
      <c r="O34" s="54"/>
      <c r="P34" s="54"/>
      <c r="Q34" s="54"/>
      <c r="R34" s="54"/>
      <c r="S34" s="54"/>
      <c r="T34" s="54"/>
      <c r="U34" s="54"/>
      <c r="V34" s="54"/>
    </row>
    <row r="35" spans="1:22" ht="15" customHeight="1">
      <c r="A35" s="29" t="s">
        <v>2</v>
      </c>
      <c r="B35" s="77" t="s">
        <v>472</v>
      </c>
      <c r="C35" s="77"/>
      <c r="D35" s="77"/>
      <c r="E35" s="77"/>
      <c r="F35" s="77"/>
      <c r="G35" s="77"/>
      <c r="H35" s="72"/>
      <c r="I35" s="73"/>
      <c r="K35" t="s">
        <v>312</v>
      </c>
      <c r="L35" t="s">
        <v>957</v>
      </c>
      <c r="M35" s="54"/>
      <c r="N35" s="54"/>
      <c r="O35" s="54"/>
      <c r="P35" s="54"/>
      <c r="Q35" s="54"/>
      <c r="R35" s="54"/>
      <c r="S35" s="54"/>
      <c r="T35" s="54"/>
      <c r="U35" s="54"/>
      <c r="V35" s="54"/>
    </row>
    <row r="36" spans="1:22" ht="15" customHeight="1" thickBot="1">
      <c r="A36" s="9">
        <f>INDEX('Point Grid'!$C$8:$I$35,MATCH($A$1,'Point Grid'!$A$8:$A$35,0),MATCH(A35,'Point Grid'!$C$7:$I$7,0))</f>
        <v>1.75</v>
      </c>
      <c r="B36" s="77" t="s">
        <v>473</v>
      </c>
      <c r="C36" s="77"/>
      <c r="D36" s="77"/>
      <c r="E36" s="77"/>
      <c r="F36" s="77"/>
      <c r="G36" s="77"/>
      <c r="H36" s="72"/>
      <c r="I36" s="73"/>
      <c r="K36"/>
      <c r="L36" t="s">
        <v>474</v>
      </c>
      <c r="M36" s="54"/>
      <c r="N36" s="54"/>
      <c r="O36" s="54"/>
      <c r="P36" s="54"/>
      <c r="Q36" s="54"/>
      <c r="R36" s="54"/>
      <c r="S36" s="54"/>
      <c r="T36" s="54"/>
      <c r="U36" s="54"/>
      <c r="V36" s="54"/>
    </row>
    <row r="37" spans="1:22" ht="15" customHeight="1" thickBot="1">
      <c r="A37" s="5"/>
      <c r="B37" s="77" t="s">
        <v>475</v>
      </c>
      <c r="C37" s="77"/>
      <c r="D37" s="77"/>
      <c r="E37" s="77"/>
      <c r="F37" s="77"/>
      <c r="G37" s="77"/>
      <c r="H37" s="72"/>
      <c r="I37" s="73"/>
      <c r="K37"/>
      <c r="L37" t="s">
        <v>476</v>
      </c>
      <c r="M37" s="78">
        <f>'18'!F32*'18'!F18-'18'!F22</f>
        <v>31500</v>
      </c>
      <c r="N37" s="54"/>
      <c r="O37" s="54"/>
      <c r="P37" s="54"/>
      <c r="Q37" s="54"/>
      <c r="R37" s="54"/>
      <c r="S37" s="54"/>
      <c r="T37" s="54"/>
      <c r="U37" s="54"/>
      <c r="V37" s="54"/>
    </row>
    <row r="38" spans="1:22" ht="15" customHeight="1">
      <c r="A38" s="79"/>
      <c r="B38" s="77" t="s">
        <v>477</v>
      </c>
      <c r="C38" s="77"/>
      <c r="D38" s="77"/>
      <c r="E38" s="77"/>
      <c r="F38" s="77"/>
      <c r="G38" s="77"/>
      <c r="H38" s="72"/>
      <c r="I38" s="73"/>
      <c r="K38"/>
      <c r="L38"/>
      <c r="M38" s="54"/>
      <c r="N38" s="54"/>
      <c r="O38" s="54"/>
      <c r="P38" s="54"/>
      <c r="Q38" s="54"/>
      <c r="R38" s="54"/>
      <c r="S38" s="54"/>
      <c r="T38" s="54"/>
      <c r="U38" s="54"/>
      <c r="V38" s="54"/>
    </row>
    <row r="39" spans="1:22" ht="15" customHeight="1">
      <c r="A39" s="31"/>
      <c r="B39" s="77" t="s">
        <v>478</v>
      </c>
      <c r="C39" s="77"/>
      <c r="D39" s="77"/>
      <c r="E39" s="77"/>
      <c r="F39" s="77"/>
      <c r="G39" s="77"/>
      <c r="H39" s="72"/>
      <c r="I39" s="73"/>
      <c r="K39"/>
      <c r="L39" t="s">
        <v>479</v>
      </c>
      <c r="M39" s="54"/>
      <c r="N39" s="54"/>
      <c r="O39" s="54"/>
      <c r="P39" s="54"/>
      <c r="Q39" s="54"/>
      <c r="R39" s="54"/>
      <c r="S39" s="54"/>
      <c r="T39" s="54"/>
      <c r="U39" s="54"/>
      <c r="V39" s="54"/>
    </row>
    <row r="40" spans="1:22" ht="15" customHeight="1">
      <c r="A40" s="31"/>
      <c r="B40" s="31"/>
      <c r="C40" s="77"/>
      <c r="D40" s="77"/>
      <c r="E40" s="77"/>
      <c r="F40" s="77"/>
      <c r="G40" s="77"/>
      <c r="H40" s="72"/>
      <c r="I40" s="73"/>
      <c r="K40"/>
      <c r="L40" s="98">
        <f>F16-F18</f>
        <v>45000</v>
      </c>
      <c r="M40" s="54"/>
      <c r="N40" s="54"/>
      <c r="O40" s="54"/>
      <c r="P40" s="54"/>
      <c r="Q40" s="54"/>
      <c r="R40" s="54"/>
      <c r="S40" s="54"/>
      <c r="T40" s="54"/>
      <c r="U40" s="54"/>
      <c r="V40" s="54"/>
    </row>
    <row r="41" spans="1:22" ht="15" customHeight="1">
      <c r="A41" s="29" t="s">
        <v>3</v>
      </c>
      <c r="B41" s="77" t="s">
        <v>480</v>
      </c>
      <c r="C41" s="77"/>
      <c r="D41" s="77"/>
      <c r="E41" s="77"/>
      <c r="F41" s="77"/>
      <c r="G41" s="77"/>
      <c r="H41" s="72"/>
      <c r="I41" s="73"/>
      <c r="K41"/>
      <c r="L41" t="s">
        <v>481</v>
      </c>
      <c r="M41" s="54"/>
      <c r="N41" s="54"/>
      <c r="O41" s="54"/>
      <c r="P41" s="54"/>
      <c r="Q41" s="54"/>
      <c r="R41" s="54"/>
      <c r="S41" s="54"/>
      <c r="T41" s="54"/>
      <c r="U41" s="54"/>
      <c r="V41" s="54"/>
    </row>
    <row r="42" spans="1:22" ht="15" customHeight="1" thickBot="1">
      <c r="A42" s="9">
        <f>INDEX('Point Grid'!$C$8:$I$35,MATCH($A$1,'Point Grid'!$A$8:$A$35,0),MATCH(A41,'Point Grid'!$C$7:$I$7,0))</f>
        <v>1</v>
      </c>
      <c r="B42" s="77"/>
      <c r="C42" s="77"/>
      <c r="D42" s="77"/>
      <c r="E42" s="77"/>
      <c r="F42" s="77"/>
      <c r="G42" s="77"/>
      <c r="H42" s="72"/>
      <c r="I42" s="73"/>
      <c r="K42"/>
      <c r="L42" s="99">
        <f>L40-M37-'18'!F14</f>
        <v>3500</v>
      </c>
      <c r="M42" s="54"/>
      <c r="N42" s="54"/>
      <c r="O42" s="54"/>
      <c r="P42" s="54"/>
      <c r="Q42" s="54"/>
      <c r="R42" s="54"/>
      <c r="S42" s="54"/>
      <c r="T42" s="54"/>
      <c r="U42" s="54"/>
      <c r="V42" s="54"/>
    </row>
    <row r="43" spans="1:22" ht="15" customHeight="1" thickBot="1">
      <c r="A43" s="5"/>
      <c r="B43" s="77"/>
      <c r="C43" s="77"/>
      <c r="D43" s="77"/>
      <c r="E43" s="77"/>
      <c r="F43" s="77"/>
      <c r="G43" s="77"/>
      <c r="H43" s="72"/>
      <c r="I43" s="73"/>
      <c r="K43"/>
      <c r="L43"/>
      <c r="M43" s="54"/>
      <c r="N43" s="54"/>
      <c r="O43" s="54"/>
      <c r="P43" s="54"/>
      <c r="Q43" s="54"/>
      <c r="R43" s="54"/>
      <c r="S43" s="54"/>
      <c r="T43" s="54"/>
      <c r="U43" s="54"/>
      <c r="V43" s="54"/>
    </row>
    <row r="44" spans="1:22" ht="15" customHeight="1">
      <c r="A44" s="79"/>
      <c r="B44" s="31"/>
      <c r="C44" s="77"/>
      <c r="D44" s="77"/>
      <c r="E44" s="77"/>
      <c r="F44" s="77"/>
      <c r="G44" s="77"/>
      <c r="H44" s="72"/>
      <c r="I44" s="73"/>
      <c r="K44" t="s">
        <v>322</v>
      </c>
      <c r="L44" t="s">
        <v>482</v>
      </c>
      <c r="M44" s="54"/>
      <c r="N44" s="54"/>
      <c r="O44" s="54"/>
      <c r="P44" s="54"/>
      <c r="Q44" s="54"/>
      <c r="R44" s="54"/>
      <c r="S44" s="54"/>
      <c r="T44" s="54"/>
      <c r="U44" s="54"/>
      <c r="V44" s="54"/>
    </row>
    <row r="45" spans="1:22" ht="15" customHeight="1">
      <c r="A45" s="29" t="s">
        <v>4</v>
      </c>
      <c r="B45" s="77" t="s">
        <v>483</v>
      </c>
      <c r="C45" s="77"/>
      <c r="D45" s="77"/>
      <c r="E45" s="77"/>
      <c r="F45" s="77"/>
      <c r="G45" s="77"/>
      <c r="H45" s="72"/>
      <c r="I45" s="73"/>
      <c r="K45"/>
      <c r="L45" s="62" t="s">
        <v>484</v>
      </c>
      <c r="M45" s="54"/>
      <c r="N45" s="54"/>
      <c r="O45" s="54"/>
      <c r="P45" s="54"/>
      <c r="Q45" s="54"/>
      <c r="R45" s="54"/>
      <c r="S45" s="54"/>
      <c r="T45" s="54"/>
      <c r="U45" s="54"/>
      <c r="V45" s="54"/>
    </row>
    <row r="46" spans="1:22" ht="15" customHeight="1" thickBot="1">
      <c r="A46" s="9">
        <f>INDEX('Point Grid'!$C$8:$I$35,MATCH($A$1,'Point Grid'!$A$8:$A$35,0),MATCH(A45,'Point Grid'!$C$7:$I$7,0))</f>
        <v>0.5</v>
      </c>
      <c r="B46" s="77"/>
      <c r="C46" s="77"/>
      <c r="D46" s="77"/>
      <c r="E46" s="77"/>
      <c r="F46" s="77"/>
      <c r="G46" s="77"/>
      <c r="H46" s="72"/>
      <c r="I46" s="73"/>
      <c r="K46"/>
      <c r="L46" s="62" t="s">
        <v>485</v>
      </c>
      <c r="M46" s="54"/>
      <c r="N46" s="54"/>
      <c r="O46" s="54"/>
      <c r="P46" s="54"/>
      <c r="Q46" s="54"/>
      <c r="R46" s="54"/>
      <c r="S46" s="54"/>
      <c r="T46" s="54"/>
      <c r="U46" s="54"/>
      <c r="V46" s="54"/>
    </row>
    <row r="47" spans="1:22" ht="15" customHeight="1" thickBot="1">
      <c r="A47" s="5"/>
      <c r="B47" s="77"/>
      <c r="C47" s="77"/>
      <c r="D47" s="77"/>
      <c r="E47" s="77"/>
      <c r="F47" s="77"/>
      <c r="G47" s="77"/>
      <c r="H47" s="72"/>
      <c r="I47" s="73"/>
      <c r="K47"/>
      <c r="L47" s="62" t="s">
        <v>486</v>
      </c>
      <c r="M47" s="54"/>
      <c r="N47" s="54"/>
      <c r="O47" s="54"/>
      <c r="P47" s="54"/>
      <c r="Q47" s="54"/>
      <c r="R47" s="54"/>
      <c r="S47" s="54"/>
      <c r="T47" s="54"/>
      <c r="U47" s="54"/>
      <c r="V47" s="54"/>
    </row>
    <row r="48" spans="1:22" ht="15" customHeight="1">
      <c r="A48" s="25"/>
      <c r="B48" s="31"/>
      <c r="C48" s="77"/>
      <c r="D48" s="77"/>
      <c r="E48" s="77"/>
      <c r="F48" s="77"/>
      <c r="G48" s="77"/>
      <c r="H48" s="72"/>
      <c r="I48" s="73"/>
      <c r="K48"/>
      <c r="L48" s="62" t="s">
        <v>487</v>
      </c>
      <c r="M48" s="54"/>
      <c r="N48" s="54"/>
      <c r="O48" s="54"/>
      <c r="P48" s="54"/>
      <c r="Q48" s="54"/>
      <c r="R48" s="54"/>
      <c r="S48" s="54"/>
      <c r="T48" s="54"/>
      <c r="U48" s="54"/>
      <c r="V48" s="54"/>
    </row>
    <row r="49" spans="1:22" ht="15" customHeight="1">
      <c r="A49" s="29" t="s">
        <v>5</v>
      </c>
      <c r="B49" s="72" t="s">
        <v>506</v>
      </c>
      <c r="C49" s="72"/>
      <c r="D49" s="72"/>
      <c r="E49" s="72"/>
      <c r="F49" s="72"/>
      <c r="G49" s="72"/>
      <c r="H49" s="72"/>
      <c r="I49" s="73"/>
      <c r="K49"/>
      <c r="L49" s="62" t="s">
        <v>488</v>
      </c>
      <c r="M49" s="54"/>
      <c r="N49" s="54"/>
      <c r="O49" s="54"/>
      <c r="P49" s="54"/>
      <c r="Q49" s="54"/>
      <c r="R49" s="54"/>
      <c r="S49" s="54"/>
      <c r="T49" s="54"/>
      <c r="U49" s="54"/>
      <c r="V49" s="54"/>
    </row>
    <row r="50" spans="1:22" ht="15" customHeight="1" thickBot="1">
      <c r="A50" s="9">
        <f>INDEX('Point Grid'!$C$8:$I$35,MATCH($A$1,'Point Grid'!$A$8:$A$35,0),MATCH(A49,'Point Grid'!$C$7:$I$7,0))</f>
        <v>0.75</v>
      </c>
      <c r="B50" s="72" t="s">
        <v>507</v>
      </c>
      <c r="C50" s="72"/>
      <c r="D50" s="72"/>
      <c r="E50" s="72"/>
      <c r="F50" s="72"/>
      <c r="G50" s="72"/>
      <c r="H50" s="72"/>
      <c r="I50" s="73"/>
      <c r="K50" s="54"/>
      <c r="L50" s="55" t="s">
        <v>489</v>
      </c>
      <c r="M50" s="54"/>
      <c r="N50" s="54"/>
      <c r="O50" s="54"/>
      <c r="P50" s="54"/>
      <c r="Q50" s="54"/>
      <c r="R50" s="54"/>
      <c r="S50" s="54"/>
      <c r="T50" s="54"/>
      <c r="U50" s="54"/>
      <c r="V50" s="54"/>
    </row>
    <row r="51" spans="1:22" ht="15" customHeight="1" thickBot="1">
      <c r="A51" s="5"/>
      <c r="B51" s="72"/>
      <c r="C51" s="72"/>
      <c r="D51" s="72"/>
      <c r="E51" s="72"/>
      <c r="F51" s="72"/>
      <c r="G51" s="72"/>
      <c r="H51" s="72"/>
      <c r="I51" s="73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</row>
    <row r="52" spans="1:22" ht="15" customHeight="1">
      <c r="A52" s="25"/>
      <c r="B52" s="72"/>
      <c r="C52" s="72"/>
      <c r="D52" s="72"/>
      <c r="E52" s="72"/>
      <c r="F52" s="72"/>
      <c r="G52" s="72"/>
      <c r="H52" s="72"/>
      <c r="I52" s="73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</row>
    <row r="53" spans="1:22" ht="15" customHeight="1">
      <c r="A53" s="25"/>
      <c r="B53" s="22"/>
      <c r="C53" s="22"/>
      <c r="D53" s="22"/>
      <c r="E53" s="22"/>
      <c r="F53" s="22"/>
      <c r="G53" s="22"/>
      <c r="H53" s="22"/>
      <c r="I53" s="26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</row>
    <row r="54" spans="1:22" ht="15" customHeight="1">
      <c r="A54" s="25"/>
      <c r="B54" s="22"/>
      <c r="C54" s="22"/>
      <c r="D54" s="22"/>
      <c r="E54" s="22"/>
      <c r="F54" s="22"/>
      <c r="G54" s="22"/>
      <c r="H54" s="22"/>
      <c r="I54" s="26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</row>
    <row r="55" spans="1:22" ht="15" customHeight="1">
      <c r="A55" s="25"/>
      <c r="B55" s="22"/>
      <c r="C55" s="22"/>
      <c r="D55" s="22"/>
      <c r="E55" s="22"/>
      <c r="F55" s="22"/>
      <c r="G55" s="22"/>
      <c r="H55" s="22"/>
      <c r="I55" s="26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</row>
    <row r="56" spans="1:22" ht="15" customHeight="1">
      <c r="A56" s="25"/>
      <c r="B56" s="22"/>
      <c r="C56" s="22"/>
      <c r="D56" s="22"/>
      <c r="E56" s="22"/>
      <c r="F56" s="22"/>
      <c r="G56" s="22"/>
      <c r="H56" s="22"/>
      <c r="I56" s="26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</row>
    <row r="57" spans="1:22" ht="15" customHeight="1">
      <c r="A57" s="25"/>
      <c r="B57" s="22"/>
      <c r="C57" s="22"/>
      <c r="D57" s="22"/>
      <c r="E57" s="22"/>
      <c r="F57" s="22"/>
      <c r="G57" s="22"/>
      <c r="H57" s="22"/>
      <c r="I57" s="26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</row>
    <row r="58" spans="1:22" ht="15" customHeight="1">
      <c r="A58" s="25"/>
      <c r="B58" s="22"/>
      <c r="C58" s="22"/>
      <c r="D58" s="22"/>
      <c r="E58" s="22"/>
      <c r="F58" s="22"/>
      <c r="G58" s="22"/>
      <c r="H58" s="22"/>
      <c r="I58" s="26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</row>
    <row r="59" spans="1:22" ht="15" customHeight="1" thickBot="1">
      <c r="A59" s="27"/>
      <c r="B59" s="27"/>
      <c r="C59" s="27"/>
      <c r="D59" s="27"/>
      <c r="E59" s="27"/>
      <c r="F59" s="27"/>
      <c r="G59" s="27"/>
      <c r="H59" s="27"/>
      <c r="I59" s="28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</row>
    <row r="60" spans="1:22" ht="15" customHeight="1">
      <c r="G60" s="3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</row>
    <row r="61" spans="1:22" ht="15" customHeight="1"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</row>
    <row r="62" spans="1:22" ht="15" customHeight="1"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</row>
    <row r="63" spans="1:22" ht="15" customHeight="1"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</row>
    <row r="64" spans="1:22" ht="15" customHeight="1"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</row>
    <row r="65" spans="11:22" ht="15" customHeight="1"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</row>
    <row r="66" spans="11:22" ht="15" customHeight="1"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</row>
    <row r="67" spans="11:22" ht="15" customHeight="1"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</row>
    <row r="68" spans="11:22" ht="15" customHeight="1"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</row>
    <row r="69" spans="11:22" ht="15" customHeight="1"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</row>
    <row r="70" spans="11:22" ht="15" customHeight="1"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</row>
    <row r="71" spans="11:22" ht="15" customHeight="1"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</row>
    <row r="72" spans="11:22" ht="15" customHeight="1"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</row>
    <row r="73" spans="11:22" ht="15" customHeight="1"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</row>
    <row r="74" spans="11:22" ht="15" customHeight="1"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</row>
    <row r="75" spans="11:22" ht="15" customHeight="1"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</row>
    <row r="76" spans="11:22" ht="15" customHeight="1"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</row>
    <row r="77" spans="11:22" ht="15" customHeight="1"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</row>
    <row r="78" spans="11:22" ht="15" customHeight="1"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</row>
    <row r="79" spans="11:22" ht="15" customHeight="1"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</row>
    <row r="80" spans="11:22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</sheetData>
  <conditionalFormatting sqref="B1">
    <cfRule type="cellIs" dxfId="43" priority="1" operator="equal">
      <formula>"Incomplete"</formula>
    </cfRule>
    <cfRule type="cellIs" dxfId="42" priority="2" operator="equal">
      <formula>"Flag for Review"</formula>
    </cfRule>
    <cfRule type="cellIs" dxfId="41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  <hyperlink ref="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Y91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5" ht="15" customHeight="1">
      <c r="A1" s="7">
        <v>19</v>
      </c>
      <c r="B1" s="32" t="s">
        <v>12</v>
      </c>
      <c r="C1" s="23"/>
      <c r="D1" s="23"/>
      <c r="E1" s="23"/>
      <c r="F1" s="23"/>
      <c r="G1" s="23"/>
      <c r="H1" s="23"/>
      <c r="I1" s="23"/>
      <c r="J1" s="23"/>
      <c r="K1" s="469" t="s">
        <v>30</v>
      </c>
      <c r="L1" s="472"/>
      <c r="N1" s="24" t="s">
        <v>316</v>
      </c>
    </row>
    <row r="2" spans="1:25" ht="15" customHeight="1">
      <c r="A2" s="25"/>
      <c r="B2" s="22"/>
      <c r="C2" s="22"/>
      <c r="D2" s="22"/>
      <c r="E2" s="22"/>
      <c r="F2" s="22"/>
      <c r="G2" s="22"/>
      <c r="H2" s="22"/>
      <c r="I2" s="22"/>
      <c r="J2" s="22"/>
      <c r="K2" s="22"/>
      <c r="L2" s="26"/>
    </row>
    <row r="3" spans="1:25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6"/>
    </row>
    <row r="4" spans="1:25" ht="15" customHeight="1">
      <c r="A4" s="9">
        <f>INDEX('Point Grid'!B:B,MATCH($A$1,'Point Grid'!A:A,0))</f>
        <v>5.25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6"/>
      <c r="N4" s="183" t="s">
        <v>2</v>
      </c>
      <c r="O4" s="24" t="s">
        <v>744</v>
      </c>
    </row>
    <row r="5" spans="1:25" ht="15" customHeight="1">
      <c r="A5" s="25"/>
      <c r="B5" s="22"/>
      <c r="C5" s="22"/>
      <c r="D5" s="22"/>
      <c r="E5" s="22"/>
      <c r="F5" s="22"/>
      <c r="G5" s="22"/>
      <c r="H5" s="22"/>
      <c r="I5" s="22"/>
      <c r="J5" s="22"/>
      <c r="K5" s="22"/>
      <c r="L5" s="26"/>
    </row>
    <row r="6" spans="1:25" ht="15" customHeight="1">
      <c r="A6" s="29" t="s">
        <v>2</v>
      </c>
      <c r="B6" s="22" t="s">
        <v>745</v>
      </c>
      <c r="C6" s="22"/>
      <c r="D6" s="22"/>
      <c r="E6" s="22"/>
      <c r="F6" s="22"/>
      <c r="G6" s="22"/>
      <c r="H6" s="22"/>
      <c r="I6" s="22"/>
      <c r="J6" s="22"/>
      <c r="K6" s="22"/>
      <c r="L6" s="26"/>
      <c r="O6" s="183" t="s">
        <v>746</v>
      </c>
      <c r="P6" s="24" t="s">
        <v>747</v>
      </c>
    </row>
    <row r="7" spans="1:25" ht="15" customHeight="1" thickBot="1">
      <c r="A7" s="9">
        <f>INDEX('Point Grid'!$C$8:$I$35,MATCH($A$1,'Point Grid'!$A$8:$A$35,0),MATCH(A6,'Point Grid'!$C$7:$I$7,0))</f>
        <v>0.5</v>
      </c>
      <c r="B7" s="22" t="s">
        <v>748</v>
      </c>
      <c r="C7" s="22"/>
      <c r="D7" s="22"/>
      <c r="E7" s="22"/>
      <c r="F7" s="22"/>
      <c r="G7" s="22"/>
      <c r="H7" s="22"/>
      <c r="I7" s="22"/>
      <c r="J7" s="22"/>
      <c r="K7" s="22"/>
      <c r="L7" s="26"/>
      <c r="P7" s="318" t="s">
        <v>749</v>
      </c>
    </row>
    <row r="8" spans="1:25" ht="15" customHeight="1" thickBot="1">
      <c r="A8" s="5"/>
      <c r="B8" s="22"/>
      <c r="C8" s="22"/>
      <c r="D8" s="22"/>
      <c r="E8" s="22"/>
      <c r="F8" s="22"/>
      <c r="G8" s="22"/>
      <c r="H8" s="22"/>
      <c r="I8" s="22"/>
      <c r="J8" s="22"/>
      <c r="K8" s="22"/>
      <c r="L8" s="26"/>
      <c r="O8" s="183"/>
    </row>
    <row r="9" spans="1:25" ht="15" customHeight="1">
      <c r="A9" s="31"/>
      <c r="B9" s="22"/>
      <c r="C9" s="22"/>
      <c r="D9" s="22"/>
      <c r="E9" s="22"/>
      <c r="F9" s="22"/>
      <c r="G9" s="22"/>
      <c r="H9" s="22"/>
      <c r="I9" s="22"/>
      <c r="J9" s="22"/>
      <c r="K9" s="22"/>
      <c r="L9" s="26"/>
      <c r="O9" s="183" t="s">
        <v>750</v>
      </c>
      <c r="P9" s="24" t="s">
        <v>751</v>
      </c>
    </row>
    <row r="10" spans="1:25" ht="15" customHeight="1">
      <c r="A10" s="29" t="s">
        <v>3</v>
      </c>
      <c r="B10" s="229" t="s">
        <v>752</v>
      </c>
      <c r="C10" s="229"/>
      <c r="D10" s="229"/>
      <c r="E10" s="229"/>
      <c r="F10" s="229"/>
      <c r="G10" s="229"/>
      <c r="H10" s="229"/>
      <c r="I10" s="229"/>
      <c r="J10" s="229"/>
      <c r="K10" s="229"/>
      <c r="L10" s="26"/>
      <c r="P10" s="318" t="s">
        <v>753</v>
      </c>
    </row>
    <row r="11" spans="1:25" ht="15" customHeight="1" thickBot="1">
      <c r="A11" s="9">
        <f>INDEX('Point Grid'!$C$8:$I$35,MATCH($A$1,'Point Grid'!$A$8:$A$35,0),MATCH(A10,'Point Grid'!$C$7:$I$7,0))</f>
        <v>2</v>
      </c>
      <c r="B11" s="229" t="s">
        <v>754</v>
      </c>
      <c r="C11" s="229"/>
      <c r="D11" s="229"/>
      <c r="E11" s="229"/>
      <c r="F11" s="229"/>
      <c r="G11" s="229"/>
      <c r="H11" s="229"/>
      <c r="I11" s="229"/>
      <c r="J11" s="229"/>
      <c r="K11" s="229"/>
      <c r="L11" s="26"/>
    </row>
    <row r="12" spans="1:25" ht="15" customHeight="1" thickBot="1">
      <c r="A12" s="5"/>
      <c r="B12" s="292"/>
      <c r="C12" s="292"/>
      <c r="D12" s="292"/>
      <c r="E12" s="292"/>
      <c r="F12" s="292"/>
      <c r="G12" s="292"/>
      <c r="H12" s="292"/>
      <c r="I12" s="229"/>
      <c r="J12" s="229"/>
      <c r="K12" s="229"/>
      <c r="L12" s="26"/>
      <c r="O12" s="183" t="s">
        <v>755</v>
      </c>
      <c r="P12" s="24" t="s">
        <v>756</v>
      </c>
    </row>
    <row r="13" spans="1:25" ht="15" customHeight="1">
      <c r="A13" s="25"/>
      <c r="B13" s="249" t="s">
        <v>757</v>
      </c>
      <c r="C13" s="319"/>
      <c r="D13" s="319"/>
      <c r="E13" s="319"/>
      <c r="F13" s="319"/>
      <c r="G13" s="320"/>
      <c r="H13" s="321">
        <v>5</v>
      </c>
      <c r="I13" s="322" t="s">
        <v>797</v>
      </c>
      <c r="J13" s="292"/>
      <c r="K13" s="292"/>
      <c r="L13" s="26"/>
    </row>
    <row r="14" spans="1:25" ht="15" customHeight="1">
      <c r="A14" s="25"/>
      <c r="B14" s="236" t="s">
        <v>758</v>
      </c>
      <c r="C14" s="323"/>
      <c r="D14" s="323"/>
      <c r="E14" s="323"/>
      <c r="F14" s="323"/>
      <c r="G14" s="324"/>
      <c r="H14" s="325">
        <v>1.95</v>
      </c>
      <c r="I14" s="292"/>
      <c r="J14" s="292"/>
      <c r="K14" s="292"/>
      <c r="L14" s="26"/>
    </row>
    <row r="15" spans="1:25" ht="15" customHeight="1">
      <c r="A15" s="25"/>
      <c r="B15" s="239" t="s">
        <v>759</v>
      </c>
      <c r="C15" s="326"/>
      <c r="D15" s="326"/>
      <c r="E15" s="326"/>
      <c r="F15" s="326"/>
      <c r="G15" s="327"/>
      <c r="H15" s="328">
        <v>1</v>
      </c>
      <c r="I15" s="292"/>
      <c r="J15" s="292"/>
      <c r="K15" s="292"/>
      <c r="L15" s="26"/>
      <c r="N15" s="183" t="s">
        <v>3</v>
      </c>
      <c r="O15" s="329" t="s">
        <v>760</v>
      </c>
      <c r="P15" s="50" t="s">
        <v>761</v>
      </c>
      <c r="Q15" s="50"/>
      <c r="R15" s="50"/>
      <c r="S15" s="50"/>
      <c r="T15" s="50"/>
      <c r="U15" s="330" t="s">
        <v>703</v>
      </c>
      <c r="V15" s="331" t="s">
        <v>762</v>
      </c>
      <c r="W15" s="332" t="s">
        <v>763</v>
      </c>
      <c r="X15" s="333"/>
      <c r="Y15" s="50"/>
    </row>
    <row r="16" spans="1:25" ht="15" customHeight="1">
      <c r="A16" s="25"/>
      <c r="B16" s="292"/>
      <c r="C16" s="292"/>
      <c r="D16" s="292"/>
      <c r="E16" s="292"/>
      <c r="F16" s="292"/>
      <c r="G16" s="292"/>
      <c r="H16" s="292"/>
      <c r="I16" s="292"/>
      <c r="J16" s="292"/>
      <c r="K16" s="292"/>
      <c r="L16" s="26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</row>
    <row r="17" spans="1:25" ht="15" customHeight="1">
      <c r="A17" s="25"/>
      <c r="B17" s="249" t="s">
        <v>764</v>
      </c>
      <c r="C17" s="319"/>
      <c r="D17" s="319"/>
      <c r="E17" s="320"/>
      <c r="F17" s="306" t="s">
        <v>765</v>
      </c>
      <c r="G17" s="334">
        <v>2024</v>
      </c>
      <c r="H17" s="334">
        <v>2025</v>
      </c>
      <c r="I17" s="334">
        <v>2026</v>
      </c>
      <c r="J17" s="334">
        <v>2027</v>
      </c>
      <c r="K17" s="335">
        <v>2028</v>
      </c>
      <c r="L17" s="26"/>
      <c r="O17" s="243"/>
      <c r="P17" s="336"/>
      <c r="Q17" s="337"/>
      <c r="R17" s="338">
        <f>G17</f>
        <v>2024</v>
      </c>
      <c r="S17" s="338">
        <f>R17+1</f>
        <v>2025</v>
      </c>
      <c r="T17" s="338">
        <f>S17+1</f>
        <v>2026</v>
      </c>
      <c r="U17" s="338">
        <f>T17+1</f>
        <v>2027</v>
      </c>
      <c r="V17" s="338">
        <f>U17+1</f>
        <v>2028</v>
      </c>
      <c r="W17" s="243"/>
      <c r="X17" s="243"/>
      <c r="Y17" s="243"/>
    </row>
    <row r="18" spans="1:25" ht="15" customHeight="1">
      <c r="A18" s="25"/>
      <c r="B18" s="339" t="s">
        <v>766</v>
      </c>
      <c r="C18" s="340"/>
      <c r="D18" s="341"/>
      <c r="E18" s="342"/>
      <c r="F18" s="343" t="s">
        <v>703</v>
      </c>
      <c r="G18" s="344">
        <v>1.95</v>
      </c>
      <c r="H18" s="345">
        <v>1.99</v>
      </c>
      <c r="I18" s="346">
        <v>2.0299999999999998</v>
      </c>
      <c r="J18" s="346">
        <v>2.0699999999999998</v>
      </c>
      <c r="K18" s="347">
        <v>2.11</v>
      </c>
      <c r="L18" s="26"/>
      <c r="O18" s="243"/>
      <c r="P18" s="348" t="s">
        <v>767</v>
      </c>
      <c r="Q18" s="349"/>
      <c r="R18" s="350">
        <f>G18</f>
        <v>1.95</v>
      </c>
      <c r="S18" s="350">
        <f>H18</f>
        <v>1.99</v>
      </c>
      <c r="T18" s="350">
        <f>I18</f>
        <v>2.0299999999999998</v>
      </c>
      <c r="U18" s="350">
        <f>J18</f>
        <v>2.0699999999999998</v>
      </c>
      <c r="V18" s="350">
        <f>K18</f>
        <v>2.11</v>
      </c>
      <c r="W18" s="243"/>
      <c r="X18" s="243"/>
      <c r="Y18" s="243"/>
    </row>
    <row r="19" spans="1:25" ht="15" customHeight="1">
      <c r="A19" s="25"/>
      <c r="B19" s="255"/>
      <c r="C19" s="256"/>
      <c r="D19" s="351"/>
      <c r="E19" s="352"/>
      <c r="F19" s="343" t="s">
        <v>768</v>
      </c>
      <c r="G19" s="353">
        <v>1900</v>
      </c>
      <c r="H19" s="353">
        <v>2090</v>
      </c>
      <c r="I19" s="353">
        <v>2299</v>
      </c>
      <c r="J19" s="353">
        <v>2529</v>
      </c>
      <c r="K19" s="354">
        <v>2782</v>
      </c>
      <c r="L19" s="26"/>
      <c r="O19" s="243"/>
      <c r="P19" s="348" t="s">
        <v>769</v>
      </c>
      <c r="Q19" s="349"/>
      <c r="R19" s="350">
        <f>H14</f>
        <v>1.95</v>
      </c>
      <c r="S19" s="350">
        <f>R19</f>
        <v>1.95</v>
      </c>
      <c r="T19" s="350">
        <f>S19</f>
        <v>1.95</v>
      </c>
      <c r="U19" s="350">
        <f>T19</f>
        <v>1.95</v>
      </c>
      <c r="V19" s="350">
        <f>U19</f>
        <v>1.95</v>
      </c>
      <c r="W19" s="243"/>
      <c r="X19" s="243"/>
      <c r="Y19" s="243"/>
    </row>
    <row r="20" spans="1:25" ht="15" customHeight="1">
      <c r="A20" s="25"/>
      <c r="B20" s="239"/>
      <c r="C20" s="240"/>
      <c r="D20" s="326"/>
      <c r="E20" s="327"/>
      <c r="F20" s="355" t="s">
        <v>770</v>
      </c>
      <c r="G20" s="356">
        <v>1330</v>
      </c>
      <c r="H20" s="356">
        <v>1383</v>
      </c>
      <c r="I20" s="356">
        <v>1438</v>
      </c>
      <c r="J20" s="356">
        <v>1496</v>
      </c>
      <c r="K20" s="357">
        <v>1556</v>
      </c>
      <c r="L20" s="26"/>
      <c r="O20" s="243"/>
      <c r="P20" s="358" t="s">
        <v>771</v>
      </c>
      <c r="Q20" s="359"/>
      <c r="R20" s="360" t="str">
        <f>IF(R18&gt;=R19,"yes","no")</f>
        <v>yes</v>
      </c>
      <c r="S20" s="360" t="str">
        <f>IF(S18&gt;=S19,"yes","no")</f>
        <v>yes</v>
      </c>
      <c r="T20" s="360" t="str">
        <f>IF(T18&gt;=T19,"yes","no")</f>
        <v>yes</v>
      </c>
      <c r="U20" s="360" t="str">
        <f>IF(U18&gt;=U19,"yes","no")</f>
        <v>yes</v>
      </c>
      <c r="V20" s="360" t="str">
        <f>IF(V18&gt;=V19,"yes","no")</f>
        <v>yes</v>
      </c>
      <c r="W20" s="361" t="s">
        <v>772</v>
      </c>
      <c r="X20" s="362"/>
      <c r="Y20" s="299" t="s">
        <v>773</v>
      </c>
    </row>
    <row r="21" spans="1:25" ht="15" customHeight="1">
      <c r="A21" s="25"/>
      <c r="B21" s="363" t="s">
        <v>774</v>
      </c>
      <c r="C21" s="364"/>
      <c r="D21" s="365"/>
      <c r="E21" s="366"/>
      <c r="F21" s="343" t="s">
        <v>703</v>
      </c>
      <c r="G21" s="344">
        <v>1.95</v>
      </c>
      <c r="H21" s="345">
        <v>1.56</v>
      </c>
      <c r="I21" s="346">
        <v>1.25</v>
      </c>
      <c r="J21" s="346">
        <v>1</v>
      </c>
      <c r="K21" s="347">
        <v>0.8</v>
      </c>
      <c r="L21" s="26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</row>
    <row r="22" spans="1:25" ht="15" customHeight="1">
      <c r="A22" s="25"/>
      <c r="B22" s="367" t="s">
        <v>798</v>
      </c>
      <c r="C22" s="256"/>
      <c r="D22" s="351"/>
      <c r="E22" s="352"/>
      <c r="F22" s="343" t="s">
        <v>768</v>
      </c>
      <c r="G22" s="353">
        <v>1900</v>
      </c>
      <c r="H22" s="353">
        <v>1995</v>
      </c>
      <c r="I22" s="353">
        <v>2095</v>
      </c>
      <c r="J22" s="353">
        <v>2200</v>
      </c>
      <c r="K22" s="354">
        <v>2310</v>
      </c>
      <c r="L22" s="26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</row>
    <row r="23" spans="1:25" ht="15" customHeight="1">
      <c r="A23" s="25"/>
      <c r="B23" s="239"/>
      <c r="C23" s="240"/>
      <c r="D23" s="326"/>
      <c r="E23" s="327"/>
      <c r="F23" s="355" t="s">
        <v>770</v>
      </c>
      <c r="G23" s="356">
        <v>1330</v>
      </c>
      <c r="H23" s="356">
        <v>1450</v>
      </c>
      <c r="I23" s="356">
        <v>1581</v>
      </c>
      <c r="J23" s="356">
        <v>1723</v>
      </c>
      <c r="K23" s="357">
        <v>1878</v>
      </c>
      <c r="L23" s="26"/>
      <c r="O23" s="368" t="s">
        <v>775</v>
      </c>
      <c r="P23" s="50" t="s">
        <v>776</v>
      </c>
      <c r="Q23" s="50"/>
      <c r="R23" s="50"/>
      <c r="S23" s="50"/>
      <c r="T23" s="50"/>
      <c r="U23" s="330" t="s">
        <v>703</v>
      </c>
      <c r="V23" s="331" t="s">
        <v>762</v>
      </c>
      <c r="W23" s="369" t="s">
        <v>777</v>
      </c>
      <c r="X23" s="333"/>
      <c r="Y23" s="243"/>
    </row>
    <row r="24" spans="1:25" ht="15" customHeight="1">
      <c r="A24" s="25"/>
      <c r="B24" s="370" t="s">
        <v>778</v>
      </c>
      <c r="C24" s="371"/>
      <c r="D24" s="372"/>
      <c r="E24" s="373"/>
      <c r="F24" s="343" t="s">
        <v>703</v>
      </c>
      <c r="G24" s="344">
        <v>1.95</v>
      </c>
      <c r="H24" s="345">
        <v>1.62</v>
      </c>
      <c r="I24" s="346">
        <v>1.34</v>
      </c>
      <c r="J24" s="346">
        <v>1.1100000000000001</v>
      </c>
      <c r="K24" s="347">
        <v>0.92</v>
      </c>
      <c r="L24" s="26"/>
      <c r="O24" s="50"/>
      <c r="P24" s="50"/>
      <c r="Q24" s="50"/>
      <c r="R24" s="50"/>
      <c r="S24" s="50"/>
      <c r="T24" s="50"/>
      <c r="U24" s="50"/>
      <c r="V24" s="50"/>
      <c r="W24" s="50"/>
      <c r="X24" s="243"/>
      <c r="Y24" s="243"/>
    </row>
    <row r="25" spans="1:25" ht="15" customHeight="1">
      <c r="A25" s="25"/>
      <c r="B25" s="255" t="s">
        <v>799</v>
      </c>
      <c r="C25" s="256"/>
      <c r="D25" s="351"/>
      <c r="E25" s="352"/>
      <c r="F25" s="343" t="s">
        <v>768</v>
      </c>
      <c r="G25" s="353">
        <v>1900</v>
      </c>
      <c r="H25" s="353">
        <v>1824</v>
      </c>
      <c r="I25" s="353">
        <v>1751</v>
      </c>
      <c r="J25" s="353">
        <v>1681</v>
      </c>
      <c r="K25" s="354">
        <v>1614</v>
      </c>
      <c r="L25" s="26"/>
      <c r="O25" s="243"/>
      <c r="P25" s="336"/>
      <c r="Q25" s="337"/>
      <c r="R25" s="338">
        <f>R17</f>
        <v>2024</v>
      </c>
      <c r="S25" s="338">
        <f>R25+1</f>
        <v>2025</v>
      </c>
      <c r="T25" s="338">
        <f>S25+1</f>
        <v>2026</v>
      </c>
      <c r="U25" s="338">
        <f>T25+1</f>
        <v>2027</v>
      </c>
      <c r="V25" s="338">
        <f>U25+1</f>
        <v>2028</v>
      </c>
      <c r="W25" s="243"/>
      <c r="X25" s="243"/>
      <c r="Y25" s="243"/>
    </row>
    <row r="26" spans="1:25" ht="15" customHeight="1">
      <c r="A26" s="25"/>
      <c r="B26" s="239"/>
      <c r="C26" s="240"/>
      <c r="D26" s="326"/>
      <c r="E26" s="327"/>
      <c r="F26" s="355" t="s">
        <v>770</v>
      </c>
      <c r="G26" s="356">
        <v>1330</v>
      </c>
      <c r="H26" s="356">
        <v>1463</v>
      </c>
      <c r="I26" s="356">
        <v>1609</v>
      </c>
      <c r="J26" s="356">
        <v>1770</v>
      </c>
      <c r="K26" s="357">
        <v>1947</v>
      </c>
      <c r="L26" s="26"/>
      <c r="O26" s="243"/>
      <c r="P26" s="348"/>
      <c r="Q26" s="374" t="s">
        <v>779</v>
      </c>
      <c r="R26" s="350">
        <f>G21</f>
        <v>1.95</v>
      </c>
      <c r="S26" s="350">
        <f>H21</f>
        <v>1.56</v>
      </c>
      <c r="T26" s="350">
        <f>I21</f>
        <v>1.25</v>
      </c>
      <c r="U26" s="350">
        <f>J21</f>
        <v>1</v>
      </c>
      <c r="V26" s="350">
        <f>K21</f>
        <v>0.8</v>
      </c>
      <c r="W26" s="243"/>
      <c r="X26" s="243"/>
      <c r="Y26" s="243"/>
    </row>
    <row r="27" spans="1:25" ht="15" customHeight="1">
      <c r="A27" s="25"/>
      <c r="B27" s="370" t="s">
        <v>780</v>
      </c>
      <c r="C27" s="371"/>
      <c r="D27" s="372"/>
      <c r="E27" s="373"/>
      <c r="F27" s="343" t="s">
        <v>703</v>
      </c>
      <c r="G27" s="344">
        <v>1.95</v>
      </c>
      <c r="H27" s="345">
        <v>1.46</v>
      </c>
      <c r="I27" s="346">
        <v>1.1000000000000001</v>
      </c>
      <c r="J27" s="346">
        <v>0.83</v>
      </c>
      <c r="K27" s="347">
        <v>0.62</v>
      </c>
      <c r="L27" s="26"/>
      <c r="O27" s="243"/>
      <c r="P27" s="348"/>
      <c r="Q27" s="375" t="s">
        <v>781</v>
      </c>
      <c r="R27" s="350">
        <f>H15</f>
        <v>1</v>
      </c>
      <c r="S27" s="350">
        <f>R27</f>
        <v>1</v>
      </c>
      <c r="T27" s="350">
        <f>S27</f>
        <v>1</v>
      </c>
      <c r="U27" s="350">
        <f>T27</f>
        <v>1</v>
      </c>
      <c r="V27" s="350">
        <f>U27</f>
        <v>1</v>
      </c>
      <c r="W27" s="243"/>
      <c r="X27" s="243"/>
      <c r="Y27" s="243"/>
    </row>
    <row r="28" spans="1:25" ht="15" customHeight="1">
      <c r="A28" s="25"/>
      <c r="B28" s="255" t="s">
        <v>782</v>
      </c>
      <c r="C28" s="256"/>
      <c r="D28" s="351"/>
      <c r="E28" s="352"/>
      <c r="F28" s="343" t="s">
        <v>768</v>
      </c>
      <c r="G28" s="353">
        <v>1900</v>
      </c>
      <c r="H28" s="353">
        <v>1843</v>
      </c>
      <c r="I28" s="353">
        <v>1788</v>
      </c>
      <c r="J28" s="353">
        <v>1734</v>
      </c>
      <c r="K28" s="354">
        <v>1682</v>
      </c>
      <c r="L28" s="26"/>
      <c r="O28" s="243"/>
      <c r="P28" s="358" t="s">
        <v>771</v>
      </c>
      <c r="Q28" s="359"/>
      <c r="R28" s="360" t="str">
        <f>IF(R26&gt;=R27,"yes","no")</f>
        <v>yes</v>
      </c>
      <c r="S28" s="360" t="str">
        <f>IF(S26&gt;=S27,"yes","no")</f>
        <v>yes</v>
      </c>
      <c r="T28" s="360" t="str">
        <f>IF(T26&gt;=T27,"yes","no")</f>
        <v>yes</v>
      </c>
      <c r="U28" s="360" t="str">
        <f>IF(U26&gt;=U27,"yes","no")</f>
        <v>yes</v>
      </c>
      <c r="V28" s="360" t="str">
        <f>IF(V26&gt;=V27,"yes","no")</f>
        <v>no</v>
      </c>
      <c r="W28" s="361" t="s">
        <v>772</v>
      </c>
      <c r="X28" s="362"/>
      <c r="Y28" s="299" t="s">
        <v>800</v>
      </c>
    </row>
    <row r="29" spans="1:25" ht="15" customHeight="1">
      <c r="A29" s="25"/>
      <c r="B29" s="239"/>
      <c r="C29" s="240"/>
      <c r="D29" s="326"/>
      <c r="E29" s="327"/>
      <c r="F29" s="355" t="s">
        <v>770</v>
      </c>
      <c r="G29" s="356">
        <v>1330</v>
      </c>
      <c r="H29" s="356">
        <v>1410</v>
      </c>
      <c r="I29" s="356">
        <v>1495</v>
      </c>
      <c r="J29" s="356">
        <v>1585</v>
      </c>
      <c r="K29" s="357">
        <v>1680</v>
      </c>
      <c r="L29" s="26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</row>
    <row r="30" spans="1:25" ht="15" customHeight="1">
      <c r="A30" s="25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26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</row>
    <row r="31" spans="1:25" ht="15" customHeight="1">
      <c r="A31" s="29" t="s">
        <v>4</v>
      </c>
      <c r="B31" s="31" t="s">
        <v>783</v>
      </c>
      <c r="C31" s="31"/>
      <c r="D31" s="31"/>
      <c r="E31" s="31"/>
      <c r="F31" s="31"/>
      <c r="G31" s="31"/>
      <c r="H31" s="31"/>
      <c r="I31" s="31"/>
      <c r="J31" s="31"/>
      <c r="K31" s="31"/>
      <c r="L31" s="26"/>
      <c r="O31" s="376" t="s">
        <v>784</v>
      </c>
      <c r="P31" s="50" t="s">
        <v>785</v>
      </c>
      <c r="Q31" s="50"/>
      <c r="R31" s="50"/>
      <c r="S31" s="50"/>
      <c r="T31" s="50"/>
      <c r="U31" s="377" t="s">
        <v>768</v>
      </c>
      <c r="V31" s="331" t="s">
        <v>762</v>
      </c>
      <c r="W31" s="332" t="s">
        <v>770</v>
      </c>
      <c r="X31" s="333"/>
      <c r="Y31" s="243"/>
    </row>
    <row r="32" spans="1:25" ht="15" customHeight="1" thickBot="1">
      <c r="A32" s="9">
        <f>INDEX('Point Grid'!$C$8:$I$35,MATCH($A$1,'Point Grid'!$A$8:$A$35,0),MATCH(A31,'Point Grid'!$C$7:$I$7,0))</f>
        <v>0.5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26"/>
      <c r="O32" s="50"/>
      <c r="P32" s="50"/>
      <c r="Q32" s="50"/>
      <c r="R32" s="50"/>
      <c r="S32" s="50"/>
      <c r="T32" s="50"/>
      <c r="U32" s="50"/>
      <c r="V32" s="50"/>
      <c r="W32" s="50"/>
      <c r="X32" s="243"/>
      <c r="Y32" s="243"/>
    </row>
    <row r="33" spans="1:25" ht="15" customHeight="1" thickBot="1">
      <c r="A33" s="5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26"/>
      <c r="O33" s="243"/>
      <c r="P33" s="336"/>
      <c r="Q33" s="337"/>
      <c r="R33" s="338">
        <f>R25</f>
        <v>2024</v>
      </c>
      <c r="S33" s="338">
        <f>R33+1</f>
        <v>2025</v>
      </c>
      <c r="T33" s="338">
        <f>S33+1</f>
        <v>2026</v>
      </c>
      <c r="U33" s="338">
        <f>T33+1</f>
        <v>2027</v>
      </c>
      <c r="V33" s="338">
        <f>U33+1</f>
        <v>2028</v>
      </c>
      <c r="W33" s="243"/>
      <c r="X33" s="243"/>
      <c r="Y33" s="243"/>
    </row>
    <row r="34" spans="1:25" ht="15" customHeight="1">
      <c r="A34" s="25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26"/>
      <c r="O34" s="243"/>
      <c r="P34" s="348" t="s">
        <v>768</v>
      </c>
      <c r="Q34" s="374"/>
      <c r="R34" s="378">
        <f t="shared" ref="R34:V35" si="0">G25</f>
        <v>1900</v>
      </c>
      <c r="S34" s="378">
        <f t="shared" si="0"/>
        <v>1824</v>
      </c>
      <c r="T34" s="378">
        <f t="shared" si="0"/>
        <v>1751</v>
      </c>
      <c r="U34" s="378">
        <f t="shared" si="0"/>
        <v>1681</v>
      </c>
      <c r="V34" s="378">
        <f t="shared" si="0"/>
        <v>1614</v>
      </c>
      <c r="W34" s="243"/>
      <c r="X34" s="243"/>
      <c r="Y34" s="243"/>
    </row>
    <row r="35" spans="1:25" ht="15" customHeight="1">
      <c r="A35" s="29" t="s">
        <v>5</v>
      </c>
      <c r="B35" s="31" t="s">
        <v>786</v>
      </c>
      <c r="C35" s="31"/>
      <c r="D35" s="31"/>
      <c r="E35" s="31"/>
      <c r="F35" s="31"/>
      <c r="G35" s="31"/>
      <c r="H35" s="31"/>
      <c r="I35" s="31"/>
      <c r="J35" s="31"/>
      <c r="K35" s="31"/>
      <c r="L35" s="26"/>
      <c r="O35" s="243"/>
      <c r="P35" s="348" t="s">
        <v>770</v>
      </c>
      <c r="Q35" s="375"/>
      <c r="R35" s="378">
        <f t="shared" si="0"/>
        <v>1330</v>
      </c>
      <c r="S35" s="378">
        <f t="shared" si="0"/>
        <v>1463</v>
      </c>
      <c r="T35" s="378">
        <f t="shared" si="0"/>
        <v>1609</v>
      </c>
      <c r="U35" s="378">
        <f t="shared" si="0"/>
        <v>1770</v>
      </c>
      <c r="V35" s="378">
        <f t="shared" si="0"/>
        <v>1947</v>
      </c>
      <c r="W35" s="243"/>
      <c r="X35" s="243"/>
      <c r="Y35" s="243"/>
    </row>
    <row r="36" spans="1:25" ht="15" customHeight="1" thickBot="1">
      <c r="A36" s="9">
        <f>INDEX('Point Grid'!$C$8:$I$35,MATCH($A$1,'Point Grid'!$A$8:$A$35,0),MATCH(A35,'Point Grid'!$C$7:$I$7,0))</f>
        <v>0.5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26"/>
      <c r="O36" s="243"/>
      <c r="P36" s="358" t="s">
        <v>771</v>
      </c>
      <c r="Q36" s="359"/>
      <c r="R36" s="360" t="str">
        <f>IF(R34&gt;=R35,"yes","no")</f>
        <v>yes</v>
      </c>
      <c r="S36" s="360" t="str">
        <f>IF(S34&gt;=S35,"yes","no")</f>
        <v>yes</v>
      </c>
      <c r="T36" s="360" t="str">
        <f>IF(T34&gt;=T35,"yes","no")</f>
        <v>yes</v>
      </c>
      <c r="U36" s="360" t="str">
        <f>IF(U34&gt;=U35,"yes","no")</f>
        <v>no</v>
      </c>
      <c r="V36" s="360" t="str">
        <f>IF(V34&gt;=V35,"yes","no")</f>
        <v>no</v>
      </c>
      <c r="W36" s="361" t="s">
        <v>772</v>
      </c>
      <c r="X36" s="362"/>
      <c r="Y36" s="299" t="s">
        <v>800</v>
      </c>
    </row>
    <row r="37" spans="1:25" ht="15" customHeight="1" thickBot="1">
      <c r="A37" s="5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26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</row>
    <row r="38" spans="1:25" ht="15" customHeight="1">
      <c r="A38" s="25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26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</row>
    <row r="39" spans="1:25" ht="15" customHeight="1">
      <c r="A39" s="29" t="s">
        <v>6</v>
      </c>
      <c r="B39" s="31" t="s">
        <v>809</v>
      </c>
      <c r="C39" s="31"/>
      <c r="D39" s="31"/>
      <c r="E39" s="31"/>
      <c r="F39" s="31"/>
      <c r="G39" s="31"/>
      <c r="H39" s="31"/>
      <c r="I39" s="31"/>
      <c r="J39" s="31"/>
      <c r="K39" s="31"/>
      <c r="L39" s="26"/>
      <c r="O39" s="376" t="s">
        <v>787</v>
      </c>
      <c r="P39" s="50" t="s">
        <v>788</v>
      </c>
      <c r="Q39" s="50"/>
      <c r="R39" s="50"/>
      <c r="S39" s="50"/>
      <c r="T39" s="50"/>
      <c r="U39" s="377" t="s">
        <v>768</v>
      </c>
      <c r="V39" s="331" t="s">
        <v>762</v>
      </c>
      <c r="W39" s="332" t="s">
        <v>770</v>
      </c>
      <c r="X39" s="333"/>
      <c r="Y39" s="243"/>
    </row>
    <row r="40" spans="1:25" ht="15" customHeight="1" thickBot="1">
      <c r="A40" s="9">
        <f>INDEX('Point Grid'!$C$8:$I$35,MATCH($A$1,'Point Grid'!$A$8:$A$35,0),MATCH(A39,'Point Grid'!$C$7:$I$7,0))</f>
        <v>0.75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6"/>
      <c r="O40" s="50"/>
      <c r="P40" s="50"/>
      <c r="Q40" s="50"/>
      <c r="R40" s="50"/>
      <c r="S40" s="50"/>
      <c r="T40" s="50"/>
      <c r="U40" s="50"/>
      <c r="V40" s="50"/>
      <c r="W40" s="50"/>
      <c r="X40" s="243"/>
      <c r="Y40" s="243"/>
    </row>
    <row r="41" spans="1:25" ht="15" customHeight="1" thickBot="1">
      <c r="A41" s="5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6"/>
      <c r="O41" s="243"/>
      <c r="P41" s="336"/>
      <c r="Q41" s="337"/>
      <c r="R41" s="338">
        <f>R33</f>
        <v>2024</v>
      </c>
      <c r="S41" s="338">
        <f>R41+1</f>
        <v>2025</v>
      </c>
      <c r="T41" s="338">
        <f>S41+1</f>
        <v>2026</v>
      </c>
      <c r="U41" s="338">
        <f>T41+1</f>
        <v>2027</v>
      </c>
      <c r="V41" s="338">
        <f>U41+1</f>
        <v>2028</v>
      </c>
      <c r="W41" s="243"/>
      <c r="X41" s="243"/>
      <c r="Y41" s="243"/>
    </row>
    <row r="42" spans="1:25" ht="15" customHeight="1">
      <c r="A42" s="25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6"/>
      <c r="O42" s="243"/>
      <c r="P42" s="348" t="s">
        <v>768</v>
      </c>
      <c r="Q42" s="374"/>
      <c r="R42" s="378">
        <f t="shared" ref="R42:V43" si="1">G28</f>
        <v>1900</v>
      </c>
      <c r="S42" s="378">
        <f t="shared" si="1"/>
        <v>1843</v>
      </c>
      <c r="T42" s="378">
        <f t="shared" si="1"/>
        <v>1788</v>
      </c>
      <c r="U42" s="378">
        <f t="shared" si="1"/>
        <v>1734</v>
      </c>
      <c r="V42" s="378">
        <f t="shared" si="1"/>
        <v>1682</v>
      </c>
      <c r="W42" s="243"/>
      <c r="X42" s="243"/>
      <c r="Y42" s="243"/>
    </row>
    <row r="43" spans="1:25" ht="15" customHeight="1">
      <c r="A43" s="29" t="s">
        <v>7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6"/>
      <c r="O43" s="243"/>
      <c r="P43" s="348" t="s">
        <v>770</v>
      </c>
      <c r="Q43" s="375"/>
      <c r="R43" s="378">
        <f t="shared" si="1"/>
        <v>1330</v>
      </c>
      <c r="S43" s="378">
        <f t="shared" si="1"/>
        <v>1410</v>
      </c>
      <c r="T43" s="378">
        <f t="shared" si="1"/>
        <v>1495</v>
      </c>
      <c r="U43" s="378">
        <f t="shared" si="1"/>
        <v>1585</v>
      </c>
      <c r="V43" s="378">
        <f t="shared" si="1"/>
        <v>1680</v>
      </c>
      <c r="W43" s="243"/>
      <c r="X43" s="243"/>
      <c r="Y43" s="243"/>
    </row>
    <row r="44" spans="1:25" ht="15" customHeight="1" thickBot="1">
      <c r="A44" s="9">
        <f>INDEX('Point Grid'!$C$8:$I$35,MATCH($A$1,'Point Grid'!$A$8:$A$35,0),MATCH(A43,'Point Grid'!$C$7:$I$7,0))</f>
        <v>1</v>
      </c>
      <c r="B44" s="22" t="s">
        <v>810</v>
      </c>
      <c r="C44" s="22"/>
      <c r="D44" s="22"/>
      <c r="E44" s="22"/>
      <c r="F44" s="22"/>
      <c r="G44" s="22"/>
      <c r="H44" s="22"/>
      <c r="I44" s="22"/>
      <c r="J44" s="22"/>
      <c r="K44" s="22"/>
      <c r="L44" s="26"/>
      <c r="O44" s="243"/>
      <c r="P44" s="358" t="s">
        <v>771</v>
      </c>
      <c r="Q44" s="359"/>
      <c r="R44" s="360" t="str">
        <f>IF(R42&gt;=R43,"yes","no")</f>
        <v>yes</v>
      </c>
      <c r="S44" s="360" t="str">
        <f>IF(S42&gt;=S43,"yes","no")</f>
        <v>yes</v>
      </c>
      <c r="T44" s="360" t="str">
        <f>IF(T42&gt;=T43,"yes","no")</f>
        <v>yes</v>
      </c>
      <c r="U44" s="360" t="str">
        <f>IF(U42&gt;=U43,"yes","no")</f>
        <v>yes</v>
      </c>
      <c r="V44" s="360" t="str">
        <f>IF(V42&gt;=V43,"yes","no")</f>
        <v>yes</v>
      </c>
      <c r="W44" s="361" t="s">
        <v>772</v>
      </c>
      <c r="X44" s="362"/>
      <c r="Y44" s="299" t="s">
        <v>773</v>
      </c>
    </row>
    <row r="45" spans="1:25" ht="15" customHeight="1" thickBot="1">
      <c r="A45" s="5"/>
      <c r="B45" s="379" t="s">
        <v>817</v>
      </c>
      <c r="C45" s="31"/>
      <c r="D45" s="22"/>
      <c r="E45" s="22"/>
      <c r="F45" s="22"/>
      <c r="G45" s="22"/>
      <c r="H45" s="22"/>
      <c r="I45" s="22"/>
      <c r="J45" s="22"/>
      <c r="K45" s="22"/>
      <c r="L45" s="26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</row>
    <row r="46" spans="1:25" ht="15" customHeight="1">
      <c r="A46" s="25"/>
      <c r="B46" s="22" t="s">
        <v>811</v>
      </c>
      <c r="C46" s="22"/>
      <c r="D46" s="22"/>
      <c r="E46" s="22"/>
      <c r="F46" s="22"/>
      <c r="G46" s="22"/>
      <c r="H46" s="22"/>
      <c r="I46" s="22"/>
      <c r="J46" s="22"/>
      <c r="K46" s="22"/>
      <c r="L46" s="26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</row>
    <row r="47" spans="1:25" ht="15" customHeight="1">
      <c r="A47" s="25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6"/>
      <c r="O47" s="380" t="s">
        <v>789</v>
      </c>
      <c r="P47" s="243" t="s">
        <v>790</v>
      </c>
      <c r="Q47" s="243"/>
      <c r="R47" s="243"/>
      <c r="S47" s="243"/>
      <c r="T47" s="243"/>
      <c r="U47" s="243"/>
      <c r="V47" s="243"/>
      <c r="W47" s="243"/>
      <c r="X47" s="50"/>
      <c r="Y47" s="50"/>
    </row>
    <row r="48" spans="1:25" ht="15" customHeight="1">
      <c r="A48" s="25"/>
      <c r="B48" s="22" t="s">
        <v>812</v>
      </c>
      <c r="C48" s="22" t="s">
        <v>816</v>
      </c>
      <c r="D48" s="22"/>
      <c r="E48" s="22"/>
      <c r="F48" s="22"/>
      <c r="G48" s="22"/>
      <c r="H48" s="22"/>
      <c r="I48" s="22"/>
      <c r="J48" s="22"/>
      <c r="K48" s="22"/>
      <c r="L48" s="26"/>
      <c r="O48" s="243"/>
      <c r="P48" s="243"/>
      <c r="Q48" s="243"/>
      <c r="R48" s="243"/>
      <c r="S48" s="243"/>
      <c r="T48" s="243"/>
      <c r="U48" s="243"/>
      <c r="V48" s="243"/>
      <c r="W48" s="243"/>
      <c r="X48" s="50"/>
      <c r="Y48" s="50"/>
    </row>
    <row r="49" spans="1:25" ht="15" customHeight="1">
      <c r="A49" s="25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6"/>
      <c r="O49" s="243"/>
      <c r="P49" s="243" t="s">
        <v>791</v>
      </c>
      <c r="Q49" s="243"/>
      <c r="R49" s="381" t="s">
        <v>801</v>
      </c>
      <c r="S49" s="243" t="s">
        <v>792</v>
      </c>
      <c r="T49" s="243"/>
      <c r="U49" s="243"/>
      <c r="V49" s="243"/>
      <c r="W49" s="243"/>
      <c r="X49" s="50"/>
      <c r="Y49" s="50"/>
    </row>
    <row r="50" spans="1:25" ht="15" customHeight="1">
      <c r="A50" s="25"/>
      <c r="B50" s="22" t="s">
        <v>813</v>
      </c>
      <c r="C50" s="22" t="s">
        <v>815</v>
      </c>
      <c r="D50" s="22"/>
      <c r="E50" s="22"/>
      <c r="F50" s="22"/>
      <c r="G50" s="22"/>
      <c r="H50" s="22"/>
      <c r="I50" s="22"/>
      <c r="J50" s="22"/>
      <c r="K50" s="22"/>
      <c r="L50" s="26"/>
    </row>
    <row r="51" spans="1:25" ht="15" customHeight="1">
      <c r="A51" s="25"/>
      <c r="B51" s="22"/>
      <c r="C51" s="22" t="s">
        <v>814</v>
      </c>
      <c r="D51" s="22"/>
      <c r="E51" s="22"/>
      <c r="F51" s="22"/>
      <c r="G51" s="22"/>
      <c r="H51" s="22"/>
      <c r="I51" s="22"/>
      <c r="J51" s="22"/>
      <c r="K51" s="22"/>
      <c r="L51" s="26"/>
    </row>
    <row r="52" spans="1:25" ht="15" customHeight="1">
      <c r="A52" s="25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6"/>
      <c r="N52" s="183" t="s">
        <v>4</v>
      </c>
      <c r="O52" s="24" t="s">
        <v>802</v>
      </c>
    </row>
    <row r="53" spans="1:25" ht="15" customHeight="1" thickBot="1">
      <c r="A53" s="31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8"/>
      <c r="O53" s="24" t="s">
        <v>803</v>
      </c>
    </row>
    <row r="54" spans="1:25" ht="15" customHeight="1"/>
    <row r="55" spans="1:25" ht="15" customHeight="1">
      <c r="O55" s="24" t="s">
        <v>793</v>
      </c>
    </row>
    <row r="56" spans="1:25" ht="15" customHeight="1">
      <c r="O56" s="24" t="s">
        <v>794</v>
      </c>
    </row>
    <row r="57" spans="1:25" ht="15" customHeight="1"/>
    <row r="58" spans="1:25" ht="15" customHeight="1">
      <c r="N58" s="183" t="s">
        <v>5</v>
      </c>
      <c r="O58" s="24" t="s">
        <v>804</v>
      </c>
    </row>
    <row r="59" spans="1:25" ht="15" customHeight="1">
      <c r="O59" s="24" t="s">
        <v>805</v>
      </c>
    </row>
    <row r="60" spans="1:25" ht="15" customHeight="1"/>
    <row r="61" spans="1:25" ht="15" customHeight="1">
      <c r="O61" s="24" t="s">
        <v>795</v>
      </c>
    </row>
    <row r="62" spans="1:25" ht="15" customHeight="1">
      <c r="O62" s="24" t="s">
        <v>796</v>
      </c>
    </row>
    <row r="63" spans="1:25" ht="15" customHeight="1"/>
    <row r="64" spans="1:25" ht="15" customHeight="1">
      <c r="N64" s="183" t="s">
        <v>6</v>
      </c>
      <c r="O64" s="217" t="s">
        <v>806</v>
      </c>
    </row>
    <row r="65" spans="14:15" ht="15" customHeight="1">
      <c r="O65" s="24" t="s">
        <v>807</v>
      </c>
    </row>
    <row r="66" spans="14:15" ht="15" customHeight="1">
      <c r="O66" s="24" t="s">
        <v>808</v>
      </c>
    </row>
    <row r="67" spans="14:15" ht="15" customHeight="1"/>
    <row r="68" spans="14:15" ht="15" customHeight="1">
      <c r="N68" s="183" t="s">
        <v>7</v>
      </c>
      <c r="O68" s="24" t="s">
        <v>818</v>
      </c>
    </row>
    <row r="69" spans="14:15" ht="15" customHeight="1">
      <c r="O69" s="24" t="s">
        <v>819</v>
      </c>
    </row>
    <row r="70" spans="14:15" ht="15" customHeight="1"/>
    <row r="71" spans="14:15" ht="15" customHeight="1">
      <c r="O71" s="24" t="s">
        <v>820</v>
      </c>
    </row>
    <row r="72" spans="14:15" ht="15" customHeight="1">
      <c r="O72" s="24" t="s">
        <v>821</v>
      </c>
    </row>
    <row r="73" spans="14:15" ht="15" customHeight="1"/>
    <row r="74" spans="14:15" ht="15" customHeight="1"/>
    <row r="75" spans="14:15" ht="15" customHeight="1"/>
    <row r="76" spans="14:15" ht="15" customHeight="1"/>
    <row r="77" spans="14:15" ht="15" customHeight="1"/>
    <row r="78" spans="14:15" ht="15" customHeight="1"/>
    <row r="79" spans="14:15" ht="15" customHeight="1"/>
    <row r="80" spans="14:15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</sheetData>
  <mergeCells count="1">
    <mergeCell ref="K1:L1"/>
  </mergeCells>
  <conditionalFormatting sqref="B1">
    <cfRule type="cellIs" dxfId="40" priority="17" operator="equal">
      <formula>"Incomplete"</formula>
    </cfRule>
    <cfRule type="cellIs" dxfId="39" priority="18" operator="equal">
      <formula>"Flag for Review"</formula>
    </cfRule>
    <cfRule type="cellIs" dxfId="38" priority="19" operator="equal">
      <formula>"Finished"</formula>
    </cfRule>
  </conditionalFormatting>
  <conditionalFormatting sqref="R20:V20">
    <cfRule type="cellIs" dxfId="37" priority="14" operator="equal">
      <formula>"yes"</formula>
    </cfRule>
    <cfRule type="cellIs" dxfId="36" priority="16" stopIfTrue="1" operator="equal">
      <formula>"no"</formula>
    </cfRule>
  </conditionalFormatting>
  <conditionalFormatting sqref="S20:V20">
    <cfRule type="cellIs" dxfId="35" priority="15" operator="equal">
      <formula>"no"</formula>
    </cfRule>
  </conditionalFormatting>
  <conditionalFormatting sqref="R28:V28">
    <cfRule type="cellIs" dxfId="34" priority="11" operator="equal">
      <formula>"yes"</formula>
    </cfRule>
    <cfRule type="cellIs" dxfId="33" priority="13" stopIfTrue="1" operator="equal">
      <formula>"no"</formula>
    </cfRule>
  </conditionalFormatting>
  <conditionalFormatting sqref="S28:V28">
    <cfRule type="cellIs" dxfId="32" priority="12" operator="equal">
      <formula>"no"</formula>
    </cfRule>
  </conditionalFormatting>
  <conditionalFormatting sqref="R36:V36">
    <cfRule type="cellIs" dxfId="31" priority="8" operator="equal">
      <formula>"yes"</formula>
    </cfRule>
    <cfRule type="cellIs" dxfId="30" priority="10" stopIfTrue="1" operator="equal">
      <formula>"no"</formula>
    </cfRule>
  </conditionalFormatting>
  <conditionalFormatting sqref="S36:V36">
    <cfRule type="cellIs" dxfId="29" priority="9" operator="equal">
      <formula>"no"</formula>
    </cfRule>
  </conditionalFormatting>
  <conditionalFormatting sqref="R44:V44">
    <cfRule type="cellIs" dxfId="28" priority="5" operator="equal">
      <formula>"yes"</formula>
    </cfRule>
    <cfRule type="cellIs" dxfId="27" priority="7" stopIfTrue="1" operator="equal">
      <formula>"no"</formula>
    </cfRule>
  </conditionalFormatting>
  <conditionalFormatting sqref="S44:V44">
    <cfRule type="cellIs" dxfId="26" priority="6" operator="equal">
      <formula>"no"</formula>
    </cfRule>
  </conditionalFormatting>
  <conditionalFormatting sqref="R49">
    <cfRule type="cellIs" dxfId="25" priority="1" operator="equal">
      <formula>"is"</formula>
    </cfRule>
    <cfRule type="cellIs" dxfId="24" priority="2" operator="equal">
      <formula>"is not"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K1" location="'Point Grid'!A8" display="Return to Point Grid"/>
    <hyperlink ref="K1:L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Z92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6">
      <c r="A1" s="7">
        <v>20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</row>
    <row r="2" spans="1:26">
      <c r="A2" s="25"/>
      <c r="B2" s="22"/>
      <c r="C2" s="22"/>
      <c r="D2" s="22"/>
      <c r="E2" s="22"/>
      <c r="F2" s="22"/>
      <c r="G2" s="22"/>
      <c r="H2" s="22"/>
      <c r="I2" s="26"/>
    </row>
    <row r="3" spans="1:26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t="s">
        <v>304</v>
      </c>
      <c r="L3" s="100" t="s">
        <v>490</v>
      </c>
    </row>
    <row r="4" spans="1:26" ht="15" customHeight="1">
      <c r="A4" s="9">
        <f>INDEX('Point Grid'!B:B,MATCH($A$1,'Point Grid'!A:A,0))</f>
        <v>2.5</v>
      </c>
      <c r="B4" s="22"/>
      <c r="C4" s="22"/>
      <c r="D4" s="22"/>
      <c r="E4" s="22"/>
      <c r="F4" s="22"/>
      <c r="G4" s="22"/>
      <c r="H4" s="22"/>
      <c r="I4" s="26"/>
      <c r="K4" s="54"/>
      <c r="L4" s="24" t="s">
        <v>491</v>
      </c>
    </row>
    <row r="5" spans="1:26" ht="15" customHeight="1">
      <c r="A5" s="25"/>
      <c r="B5" s="22"/>
      <c r="C5" s="22"/>
      <c r="D5" s="22"/>
      <c r="E5" s="22"/>
      <c r="F5" s="22"/>
      <c r="G5" s="22"/>
      <c r="H5" s="22"/>
      <c r="I5" s="26"/>
      <c r="K5" s="54"/>
    </row>
    <row r="6" spans="1:26" ht="15" customHeight="1">
      <c r="A6" s="29" t="s">
        <v>2</v>
      </c>
      <c r="B6" s="49" t="s">
        <v>493</v>
      </c>
      <c r="C6" s="22"/>
      <c r="D6" s="22"/>
      <c r="E6" s="22"/>
      <c r="F6" s="22"/>
      <c r="G6" s="22"/>
      <c r="H6" s="22"/>
      <c r="I6" s="26"/>
      <c r="K6" s="54"/>
      <c r="L6" s="100" t="s">
        <v>492</v>
      </c>
    </row>
    <row r="7" spans="1:26" ht="15" customHeight="1" thickBot="1">
      <c r="A7" s="9">
        <f>INDEX('Point Grid'!$C$8:$I$35,MATCH($A$1,'Point Grid'!$A$8:$A$35,0),MATCH(A6,'Point Grid'!$C$7:$I$7,0))</f>
        <v>1.5</v>
      </c>
      <c r="B7" s="49"/>
      <c r="C7" s="22"/>
      <c r="D7" s="22"/>
      <c r="E7" s="22"/>
      <c r="F7" s="22"/>
      <c r="G7" s="22"/>
      <c r="H7" s="22"/>
      <c r="I7" s="26"/>
      <c r="K7" s="54"/>
      <c r="L7" s="24" t="s">
        <v>958</v>
      </c>
    </row>
    <row r="8" spans="1:26" ht="15" customHeight="1" thickBot="1">
      <c r="A8" s="5"/>
      <c r="B8" s="22"/>
      <c r="C8" s="22"/>
      <c r="D8" s="22"/>
      <c r="E8" s="22"/>
      <c r="F8" s="22"/>
      <c r="G8" s="22"/>
      <c r="H8" s="22"/>
      <c r="I8" s="26"/>
      <c r="K8" s="54"/>
    </row>
    <row r="9" spans="1:26" ht="15" customHeight="1">
      <c r="A9" s="31"/>
      <c r="B9" s="22"/>
      <c r="C9" s="22"/>
      <c r="D9" s="22"/>
      <c r="E9" s="22"/>
      <c r="F9" s="22"/>
      <c r="G9" s="22"/>
      <c r="H9" s="22"/>
      <c r="I9" s="26"/>
      <c r="K9" s="54"/>
      <c r="L9" s="100" t="s">
        <v>494</v>
      </c>
    </row>
    <row r="10" spans="1:26" ht="15" customHeight="1">
      <c r="A10" s="29" t="s">
        <v>3</v>
      </c>
      <c r="B10" s="49" t="s">
        <v>496</v>
      </c>
      <c r="C10" s="22"/>
      <c r="D10" s="22"/>
      <c r="E10" s="22"/>
      <c r="F10" s="22"/>
      <c r="G10" s="22"/>
      <c r="H10" s="22"/>
      <c r="I10" s="26"/>
      <c r="K10" s="54"/>
      <c r="L10" s="24" t="s">
        <v>495</v>
      </c>
    </row>
    <row r="11" spans="1:26" ht="15" customHeight="1" thickBot="1">
      <c r="A11" s="9">
        <f>INDEX('Point Grid'!$C$8:$I$35,MATCH($A$1,'Point Grid'!$A$8:$A$35,0),MATCH(A10,'Point Grid'!$C$7:$I$7,0))</f>
        <v>1</v>
      </c>
      <c r="B11" s="49" t="s">
        <v>498</v>
      </c>
      <c r="C11" s="22"/>
      <c r="D11" s="22"/>
      <c r="E11" s="22"/>
      <c r="F11" s="22"/>
      <c r="G11" s="22"/>
      <c r="H11" s="22"/>
      <c r="I11" s="26"/>
      <c r="K11"/>
      <c r="L11" s="24" t="s">
        <v>497</v>
      </c>
    </row>
    <row r="12" spans="1:26" ht="15" customHeight="1" thickBot="1">
      <c r="A12" s="5"/>
      <c r="B12" s="22"/>
      <c r="C12" s="22"/>
      <c r="D12" s="22"/>
      <c r="E12" s="22"/>
      <c r="F12" s="22"/>
      <c r="G12" s="22"/>
      <c r="H12" s="22"/>
      <c r="I12" s="26"/>
      <c r="K12"/>
    </row>
    <row r="13" spans="1:26" ht="15" customHeight="1">
      <c r="A13" s="25"/>
      <c r="B13" s="22"/>
      <c r="C13" s="22"/>
      <c r="D13" s="22"/>
      <c r="E13" s="22"/>
      <c r="F13" s="22"/>
      <c r="G13" s="22"/>
      <c r="H13" s="22"/>
      <c r="I13" s="26"/>
      <c r="K13" s="54" t="s">
        <v>309</v>
      </c>
      <c r="L13" t="s">
        <v>223</v>
      </c>
    </row>
    <row r="14" spans="1:26" ht="15" customHeight="1" thickBot="1">
      <c r="A14" s="27"/>
      <c r="B14" s="27"/>
      <c r="C14" s="27"/>
      <c r="D14" s="27"/>
      <c r="E14" s="27"/>
      <c r="F14" s="27"/>
      <c r="G14" s="27"/>
      <c r="H14" s="27"/>
      <c r="I14" s="28"/>
      <c r="K14" s="54"/>
      <c r="L14" s="62" t="s">
        <v>499</v>
      </c>
      <c r="V14" s="30"/>
      <c r="W14" s="30"/>
      <c r="X14" s="30"/>
      <c r="Y14" s="30"/>
      <c r="Z14" s="30"/>
    </row>
    <row r="15" spans="1:26" ht="15" customHeight="1">
      <c r="K15" s="54"/>
      <c r="L15" s="62" t="s">
        <v>500</v>
      </c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spans="1:26" ht="15" customHeight="1">
      <c r="K16" s="54"/>
      <c r="L16" s="62" t="s">
        <v>960</v>
      </c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spans="11:26" ht="15" customHeight="1">
      <c r="K17" s="54"/>
      <c r="L17" s="62" t="s">
        <v>501</v>
      </c>
      <c r="M17" s="36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spans="11:26" ht="15" customHeight="1">
      <c r="K18" s="54"/>
      <c r="L18" s="62" t="s">
        <v>959</v>
      </c>
      <c r="M18" s="36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pans="11:26" ht="15" customHeight="1">
      <c r="K19" s="54"/>
      <c r="L19" s="62" t="s">
        <v>502</v>
      </c>
      <c r="M19" s="36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spans="11:26" ht="15" customHeight="1">
      <c r="K20"/>
      <c r="L20" s="30"/>
      <c r="M20" s="36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spans="11:26" ht="15" customHeight="1">
      <c r="K21"/>
      <c r="L21" s="30"/>
      <c r="M21" s="36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spans="11:26" ht="15" customHeight="1">
      <c r="K22"/>
      <c r="L22" s="30"/>
      <c r="M22" s="36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spans="11:26" ht="15" customHeight="1">
      <c r="K23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spans="11:26" ht="15" customHeight="1">
      <c r="K24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spans="11:26" ht="15" customHeight="1">
      <c r="K25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spans="11:26" ht="15" customHeight="1">
      <c r="K26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spans="11:26" ht="15" customHeight="1">
      <c r="K27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spans="11:26" ht="15" customHeight="1">
      <c r="K28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spans="11:26" ht="15" customHeight="1">
      <c r="K29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1:26" ht="15" customHeight="1">
      <c r="K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spans="11:26" ht="15" customHeight="1">
      <c r="K31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spans="11:26" ht="15" customHeight="1">
      <c r="K32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spans="11:26" ht="15" customHeight="1">
      <c r="K33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spans="11:26" ht="15" customHeight="1">
      <c r="K34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spans="11:26" ht="15" customHeight="1">
      <c r="K35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spans="11:26" ht="15" customHeight="1">
      <c r="K36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spans="11:26" ht="15" customHeight="1">
      <c r="K37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spans="11:26" ht="15" customHeight="1">
      <c r="K38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spans="11:26" ht="15" customHeight="1">
      <c r="K39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spans="11:26" ht="15" customHeight="1">
      <c r="K4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spans="11:26" ht="15" customHeight="1">
      <c r="K41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spans="11:26" ht="15" customHeight="1">
      <c r="K42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spans="11:26" ht="15" customHeight="1">
      <c r="K43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spans="11:26" ht="15" customHeight="1">
      <c r="K44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spans="11:26" ht="15" customHeight="1">
      <c r="K45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spans="11:26" ht="15" customHeight="1">
      <c r="K46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spans="11:26" ht="15" customHeight="1">
      <c r="K47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spans="11:26" ht="15" customHeight="1">
      <c r="K48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spans="11:26" ht="15" customHeight="1">
      <c r="K49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spans="11:26" ht="15" customHeight="1">
      <c r="K5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spans="11:26" ht="15" customHeight="1">
      <c r="K51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spans="11:26" ht="15" customHeight="1">
      <c r="K52"/>
    </row>
    <row r="53" spans="11:26" ht="15" customHeight="1">
      <c r="K53"/>
    </row>
    <row r="54" spans="11:26" ht="15" customHeight="1">
      <c r="K54"/>
    </row>
    <row r="55" spans="11:26" ht="15" customHeight="1">
      <c r="K55"/>
    </row>
    <row r="56" spans="11:26" ht="15" customHeight="1">
      <c r="K56"/>
    </row>
    <row r="57" spans="11:26" ht="15" customHeight="1"/>
    <row r="58" spans="11:26" ht="15" customHeight="1"/>
    <row r="59" spans="11:26" ht="15" customHeight="1"/>
    <row r="60" spans="11:26" ht="15" customHeight="1"/>
    <row r="61" spans="11:26" ht="15" customHeight="1"/>
    <row r="62" spans="11:26" ht="15" customHeight="1"/>
    <row r="63" spans="11:26" ht="15" customHeight="1"/>
    <row r="64" spans="11:26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</sheetData>
  <mergeCells count="1">
    <mergeCell ref="H1:I1"/>
  </mergeCells>
  <conditionalFormatting sqref="B1">
    <cfRule type="cellIs" dxfId="23" priority="1" operator="equal">
      <formula>"Incomplete"</formula>
    </cfRule>
    <cfRule type="cellIs" dxfId="22" priority="2" operator="equal">
      <formula>"Flag for Review"</formula>
    </cfRule>
    <cfRule type="cellIs" dxfId="21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R133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10" width="10.7109375" style="24" customWidth="1"/>
    <col min="11" max="11" width="9.140625" style="24" customWidth="1"/>
    <col min="12" max="12" width="9.140625" style="24"/>
    <col min="13" max="13" width="13.140625" style="24" customWidth="1"/>
    <col min="14" max="18" width="15.7109375" style="24" customWidth="1"/>
    <col min="19" max="16384" width="9.140625" style="24"/>
  </cols>
  <sheetData>
    <row r="1" spans="1:18" ht="15" customHeight="1">
      <c r="A1" s="7">
        <v>21</v>
      </c>
      <c r="B1" s="32" t="s">
        <v>12</v>
      </c>
      <c r="C1" s="23"/>
      <c r="D1" s="23"/>
      <c r="E1" s="23"/>
      <c r="F1" s="23"/>
      <c r="G1" s="23"/>
      <c r="H1" s="23"/>
      <c r="I1" s="469" t="s">
        <v>30</v>
      </c>
      <c r="J1" s="472"/>
      <c r="L1" s="50" t="s">
        <v>316</v>
      </c>
      <c r="M1" s="50"/>
    </row>
    <row r="2" spans="1:18" ht="15" customHeight="1">
      <c r="A2" s="25"/>
      <c r="B2" s="22"/>
      <c r="C2" s="22"/>
      <c r="D2" s="22"/>
      <c r="E2" s="22"/>
      <c r="F2" s="22"/>
      <c r="G2" s="22"/>
      <c r="H2" s="22"/>
      <c r="I2" s="22"/>
      <c r="J2" s="26"/>
      <c r="L2" s="50"/>
      <c r="M2" s="50"/>
    </row>
    <row r="3" spans="1:18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L3" s="50" t="s">
        <v>2</v>
      </c>
      <c r="M3" s="50"/>
      <c r="N3" s="50"/>
      <c r="O3" s="50"/>
    </row>
    <row r="4" spans="1:18" ht="15" customHeight="1">
      <c r="A4" s="9">
        <f>INDEX('Point Grid'!B:B,MATCH($A$1,'Point Grid'!A:A,0))</f>
        <v>3.75</v>
      </c>
      <c r="B4" s="22" t="s">
        <v>142</v>
      </c>
      <c r="C4" s="22"/>
      <c r="D4" s="22"/>
      <c r="E4" s="22"/>
      <c r="F4" s="22"/>
      <c r="G4" s="22"/>
      <c r="H4" s="22"/>
      <c r="I4" s="22"/>
      <c r="J4" s="26"/>
      <c r="L4" s="161" t="s">
        <v>172</v>
      </c>
      <c r="M4" s="161" t="s">
        <v>149</v>
      </c>
      <c r="N4" s="161" t="s">
        <v>173</v>
      </c>
      <c r="O4" s="161" t="s">
        <v>174</v>
      </c>
      <c r="P4" s="162" t="s">
        <v>175</v>
      </c>
      <c r="Q4" s="162" t="s">
        <v>176</v>
      </c>
      <c r="R4" s="162" t="s">
        <v>177</v>
      </c>
    </row>
    <row r="5" spans="1:18" ht="15" customHeight="1">
      <c r="A5" s="9"/>
      <c r="B5" s="22"/>
      <c r="C5" s="22"/>
      <c r="D5" s="22"/>
      <c r="E5" s="22"/>
      <c r="F5" s="22"/>
      <c r="G5" s="22"/>
      <c r="H5" s="22"/>
      <c r="I5" s="22"/>
      <c r="J5" s="26"/>
      <c r="L5" s="163">
        <v>1</v>
      </c>
      <c r="M5" s="163">
        <f>C13</f>
        <v>2022</v>
      </c>
      <c r="N5" s="164">
        <f>H6</f>
        <v>3750000</v>
      </c>
      <c r="O5" s="164">
        <f>$H$8*N5</f>
        <v>375000</v>
      </c>
      <c r="P5" s="165">
        <f>O5*$H$9</f>
        <v>1031250</v>
      </c>
      <c r="Q5" s="165">
        <f>P5*$H$10</f>
        <v>82500</v>
      </c>
      <c r="R5" s="121">
        <f>(1+$H$7)^-L5</f>
        <v>0.98039215686274506</v>
      </c>
    </row>
    <row r="6" spans="1:18" ht="15" customHeight="1">
      <c r="A6" s="9"/>
      <c r="B6" s="178" t="s">
        <v>143</v>
      </c>
      <c r="C6" s="179"/>
      <c r="D6" s="179"/>
      <c r="E6" s="179"/>
      <c r="F6" s="179"/>
      <c r="G6" s="180"/>
      <c r="H6" s="181">
        <v>3750000</v>
      </c>
      <c r="I6" s="22"/>
      <c r="J6" s="26"/>
      <c r="L6" s="163">
        <v>2</v>
      </c>
      <c r="M6" s="163">
        <f>C14</f>
        <v>2023</v>
      </c>
      <c r="N6" s="164">
        <f>$H$6-$H$6*D13</f>
        <v>3000000</v>
      </c>
      <c r="O6" s="164">
        <f>$H$8*N6</f>
        <v>300000</v>
      </c>
      <c r="P6" s="165">
        <f>O6*$H$9</f>
        <v>825000</v>
      </c>
      <c r="Q6" s="165">
        <f>P6*$H$10</f>
        <v>66000</v>
      </c>
      <c r="R6" s="121">
        <f>(1+$H$7)^-L6</f>
        <v>0.96116878123798544</v>
      </c>
    </row>
    <row r="7" spans="1:18" ht="15" customHeight="1">
      <c r="A7" s="9"/>
      <c r="B7" s="132" t="s">
        <v>144</v>
      </c>
      <c r="C7" s="22"/>
      <c r="D7" s="22"/>
      <c r="E7" s="22"/>
      <c r="F7" s="22"/>
      <c r="G7" s="173"/>
      <c r="H7" s="172">
        <v>0.02</v>
      </c>
      <c r="I7" s="22"/>
      <c r="J7" s="26"/>
      <c r="L7" s="163">
        <v>3</v>
      </c>
      <c r="M7" s="163">
        <f>C15</f>
        <v>2024</v>
      </c>
      <c r="N7" s="164">
        <f>$H$6-$H$6*D14</f>
        <v>2437500</v>
      </c>
      <c r="O7" s="164">
        <f>$H$8*N7</f>
        <v>243750</v>
      </c>
      <c r="P7" s="165">
        <f>O7*$H$9</f>
        <v>670312.5</v>
      </c>
      <c r="Q7" s="165">
        <f>P7*$H$10</f>
        <v>53625</v>
      </c>
      <c r="R7" s="121">
        <f>(1+$H$7)^-L7</f>
        <v>0.94232233454704462</v>
      </c>
    </row>
    <row r="8" spans="1:18" ht="15" customHeight="1">
      <c r="A8" s="9"/>
      <c r="B8" s="132" t="s">
        <v>145</v>
      </c>
      <c r="C8" s="22"/>
      <c r="D8" s="22"/>
      <c r="E8" s="22"/>
      <c r="F8" s="22"/>
      <c r="G8" s="173"/>
      <c r="H8" s="172">
        <v>0.1</v>
      </c>
      <c r="I8" s="22"/>
      <c r="J8" s="26"/>
      <c r="L8" s="163">
        <v>4</v>
      </c>
      <c r="M8" s="163">
        <f>C16</f>
        <v>2025</v>
      </c>
      <c r="N8" s="164">
        <f>$H$6-$H$6*D15</f>
        <v>375000</v>
      </c>
      <c r="O8" s="164">
        <f>$H$8*N8</f>
        <v>37500</v>
      </c>
      <c r="P8" s="165">
        <f>O8*$H$9</f>
        <v>103125</v>
      </c>
      <c r="Q8" s="165">
        <f>P8*$H$10</f>
        <v>8250</v>
      </c>
      <c r="R8" s="121">
        <f>(1+$H$7)^-L8</f>
        <v>0.9238454260265142</v>
      </c>
    </row>
    <row r="9" spans="1:18" ht="15" customHeight="1">
      <c r="A9" s="9"/>
      <c r="B9" s="132" t="s">
        <v>146</v>
      </c>
      <c r="C9" s="22"/>
      <c r="D9" s="22"/>
      <c r="E9" s="22"/>
      <c r="F9" s="22"/>
      <c r="G9" s="173"/>
      <c r="H9" s="173">
        <v>2.75</v>
      </c>
      <c r="I9" s="22"/>
      <c r="J9" s="26"/>
      <c r="L9" s="50"/>
      <c r="M9" s="50"/>
      <c r="N9" s="50"/>
      <c r="O9" s="50"/>
    </row>
    <row r="10" spans="1:18" ht="15" customHeight="1">
      <c r="A10" s="9"/>
      <c r="B10" s="174" t="s">
        <v>147</v>
      </c>
      <c r="C10" s="175"/>
      <c r="D10" s="175"/>
      <c r="E10" s="175"/>
      <c r="F10" s="175"/>
      <c r="G10" s="177"/>
      <c r="H10" s="176">
        <v>0.08</v>
      </c>
      <c r="I10" s="22"/>
      <c r="J10" s="26"/>
      <c r="L10" s="50"/>
      <c r="M10" s="50" t="s">
        <v>178</v>
      </c>
      <c r="N10" s="50"/>
      <c r="O10" s="50"/>
      <c r="P10" s="104">
        <f>SUMPRODUCT(Q5:Q8,R5:R8)</f>
        <v>202473.25245768749</v>
      </c>
    </row>
    <row r="11" spans="1:18" ht="15" customHeight="1">
      <c r="A11" s="9"/>
      <c r="B11" s="22"/>
      <c r="C11" s="22"/>
      <c r="D11" s="22"/>
      <c r="E11" s="22"/>
      <c r="F11" s="22"/>
      <c r="G11" s="22"/>
      <c r="H11" s="22"/>
      <c r="I11" s="22"/>
      <c r="J11" s="26"/>
      <c r="L11" s="50"/>
      <c r="M11" s="50"/>
      <c r="N11" s="50"/>
      <c r="O11" s="50"/>
    </row>
    <row r="12" spans="1:18" ht="26.45" customHeight="1">
      <c r="A12" s="9"/>
      <c r="B12" s="166"/>
      <c r="C12" s="46" t="s">
        <v>149</v>
      </c>
      <c r="D12" s="46" t="s">
        <v>151</v>
      </c>
      <c r="E12" s="166"/>
      <c r="F12" s="166"/>
      <c r="G12" s="166"/>
      <c r="H12" s="166"/>
      <c r="I12" s="166"/>
      <c r="J12" s="167"/>
      <c r="L12" s="168" t="s">
        <v>172</v>
      </c>
      <c r="M12" s="168" t="s">
        <v>149</v>
      </c>
      <c r="N12" s="168" t="s">
        <v>171</v>
      </c>
      <c r="O12" s="168" t="s">
        <v>177</v>
      </c>
      <c r="P12" s="169"/>
      <c r="Q12" s="169"/>
      <c r="R12" s="169"/>
    </row>
    <row r="13" spans="1:18" ht="15" customHeight="1">
      <c r="A13" s="9"/>
      <c r="B13" s="22"/>
      <c r="C13" s="47">
        <v>2022</v>
      </c>
      <c r="D13" s="48">
        <v>0.2</v>
      </c>
      <c r="E13" s="22"/>
      <c r="F13" s="22"/>
      <c r="G13" s="22"/>
      <c r="H13" s="22"/>
      <c r="I13" s="22"/>
      <c r="J13" s="26"/>
      <c r="L13" s="163">
        <v>0.5</v>
      </c>
      <c r="M13" s="163">
        <v>2022</v>
      </c>
      <c r="N13" s="164">
        <f>H6*D13</f>
        <v>750000</v>
      </c>
      <c r="O13" s="170">
        <f>(1+$H$7)^-L13</f>
        <v>0.99014754297667429</v>
      </c>
    </row>
    <row r="14" spans="1:18" ht="15" customHeight="1">
      <c r="A14" s="9"/>
      <c r="B14" s="22"/>
      <c r="C14" s="47">
        <v>2023</v>
      </c>
      <c r="D14" s="48">
        <v>0.35</v>
      </c>
      <c r="E14" s="22"/>
      <c r="F14" s="22"/>
      <c r="G14" s="22"/>
      <c r="H14" s="22"/>
      <c r="I14" s="22"/>
      <c r="J14" s="26"/>
      <c r="L14" s="163">
        <v>1.5</v>
      </c>
      <c r="M14" s="163">
        <v>2023</v>
      </c>
      <c r="N14" s="170">
        <f>$H$6*(D14-D13)</f>
        <v>562499.99999999988</v>
      </c>
      <c r="O14" s="170">
        <f>(1+$H$7)^-L14</f>
        <v>0.97073288527124924</v>
      </c>
    </row>
    <row r="15" spans="1:18" ht="15" customHeight="1">
      <c r="A15" s="9"/>
      <c r="B15" s="22"/>
      <c r="C15" s="47">
        <v>2024</v>
      </c>
      <c r="D15" s="48">
        <v>0.9</v>
      </c>
      <c r="E15" s="22"/>
      <c r="F15" s="22"/>
      <c r="G15" s="22"/>
      <c r="H15" s="22"/>
      <c r="I15" s="22"/>
      <c r="J15" s="26"/>
      <c r="L15" s="163">
        <v>2.5</v>
      </c>
      <c r="M15" s="163">
        <v>2024</v>
      </c>
      <c r="N15" s="170">
        <f>$H$6*(D15-D14)</f>
        <v>2062500.0000000002</v>
      </c>
      <c r="O15" s="170">
        <f>(1+$H$7)^-L15</f>
        <v>0.95169890712867578</v>
      </c>
    </row>
    <row r="16" spans="1:18" ht="15" customHeight="1">
      <c r="A16" s="25"/>
      <c r="B16" s="22"/>
      <c r="C16" s="47">
        <v>2025</v>
      </c>
      <c r="D16" s="48">
        <v>1</v>
      </c>
      <c r="E16" s="22"/>
      <c r="F16" s="22"/>
      <c r="G16" s="22"/>
      <c r="H16" s="22"/>
      <c r="I16" s="22"/>
      <c r="J16" s="26"/>
      <c r="L16" s="163">
        <v>3.5</v>
      </c>
      <c r="M16" s="163">
        <v>2025</v>
      </c>
      <c r="N16" s="170">
        <f>$H$6*(D16-D15)</f>
        <v>374999.99999999994</v>
      </c>
      <c r="O16" s="170">
        <f>(1+$H$7)^-L16</f>
        <v>0.93303814424379983</v>
      </c>
    </row>
    <row r="17" spans="1:16" ht="15" customHeight="1">
      <c r="A17" s="25"/>
      <c r="B17" s="22"/>
      <c r="C17" s="22" t="s">
        <v>150</v>
      </c>
      <c r="D17" s="22"/>
      <c r="E17" s="22"/>
      <c r="F17" s="22"/>
      <c r="G17" s="22"/>
      <c r="H17" s="22"/>
      <c r="I17" s="22"/>
      <c r="J17" s="26"/>
      <c r="L17" s="50"/>
      <c r="M17" s="50"/>
      <c r="N17" s="50"/>
      <c r="O17" s="50"/>
    </row>
    <row r="18" spans="1:16" ht="15" customHeight="1">
      <c r="A18" s="25"/>
      <c r="B18" s="22"/>
      <c r="C18" s="22"/>
      <c r="D18" s="22"/>
      <c r="E18" s="22"/>
      <c r="F18" s="22"/>
      <c r="G18" s="22"/>
      <c r="H18" s="22"/>
      <c r="I18" s="22"/>
      <c r="J18" s="26"/>
      <c r="L18" s="50"/>
      <c r="M18" s="50" t="s">
        <v>179</v>
      </c>
      <c r="N18" s="50"/>
      <c r="O18" s="50"/>
      <c r="P18" s="104">
        <f>SUMPRODUCT(N13:N16,O13:O16)</f>
        <v>3601416.2052419018</v>
      </c>
    </row>
    <row r="19" spans="1:16" ht="15" customHeight="1">
      <c r="A19" s="29" t="s">
        <v>2</v>
      </c>
      <c r="B19" s="22" t="s">
        <v>148</v>
      </c>
      <c r="C19" s="22"/>
      <c r="D19" s="22"/>
      <c r="E19" s="22"/>
      <c r="F19" s="22"/>
      <c r="G19" s="22"/>
      <c r="H19" s="22"/>
      <c r="I19" s="22"/>
      <c r="J19" s="26"/>
      <c r="L19" s="50"/>
      <c r="M19" s="50"/>
      <c r="N19" s="50"/>
      <c r="O19" s="50"/>
      <c r="P19" s="104"/>
    </row>
    <row r="20" spans="1:16" ht="15" customHeight="1" thickBot="1">
      <c r="A20" s="9">
        <f>INDEX('Point Grid'!$C$8:$I$35,MATCH($A$1,'Point Grid'!$A$8:$A$35,0),MATCH(A19,'Point Grid'!$C$7:$I$7,0))</f>
        <v>2.5</v>
      </c>
      <c r="B20" s="22"/>
      <c r="C20" s="22"/>
      <c r="D20" s="22"/>
      <c r="E20" s="22"/>
      <c r="F20" s="22"/>
      <c r="G20" s="22"/>
      <c r="H20" s="22"/>
      <c r="I20" s="22"/>
      <c r="J20" s="26"/>
      <c r="L20" s="50"/>
      <c r="M20" s="50" t="s">
        <v>180</v>
      </c>
      <c r="N20" s="50"/>
      <c r="O20" s="50"/>
      <c r="P20" s="104">
        <f>P10+P18</f>
        <v>3803889.4576995894</v>
      </c>
    </row>
    <row r="21" spans="1:16" ht="15" customHeight="1" thickBot="1">
      <c r="A21" s="5"/>
      <c r="B21" s="22"/>
      <c r="C21" s="22"/>
      <c r="D21" s="22"/>
      <c r="E21" s="22"/>
      <c r="F21" s="22"/>
      <c r="G21" s="22"/>
      <c r="H21" s="22"/>
      <c r="I21" s="22"/>
      <c r="J21" s="26"/>
      <c r="L21" s="50"/>
      <c r="M21" s="50"/>
      <c r="N21" s="50"/>
      <c r="O21" s="50"/>
    </row>
    <row r="22" spans="1:16" ht="15" customHeight="1">
      <c r="A22" s="31"/>
      <c r="B22" s="22"/>
      <c r="C22" s="22"/>
      <c r="D22" s="22"/>
      <c r="E22" s="22"/>
      <c r="F22" s="22"/>
      <c r="G22" s="22"/>
      <c r="H22" s="22"/>
      <c r="I22" s="22"/>
      <c r="J22" s="26"/>
      <c r="L22" s="50"/>
      <c r="M22" s="50"/>
      <c r="N22" s="50"/>
      <c r="O22" s="50"/>
    </row>
    <row r="23" spans="1:16" ht="15" customHeight="1">
      <c r="A23" s="29" t="s">
        <v>3</v>
      </c>
      <c r="B23" s="22" t="s">
        <v>152</v>
      </c>
      <c r="C23" s="22"/>
      <c r="D23" s="22"/>
      <c r="E23" s="22"/>
      <c r="F23" s="22"/>
      <c r="G23" s="22"/>
      <c r="H23" s="22"/>
      <c r="I23" s="22"/>
      <c r="J23" s="26"/>
      <c r="L23" s="50" t="s">
        <v>3</v>
      </c>
      <c r="M23" s="50" t="s">
        <v>156</v>
      </c>
      <c r="N23" s="50"/>
      <c r="O23" s="50"/>
      <c r="P23" s="50"/>
    </row>
    <row r="24" spans="1:16" ht="15" customHeight="1" thickBot="1">
      <c r="A24" s="9">
        <f>INDEX('Point Grid'!$C$8:$I$35,MATCH($A$1,'Point Grid'!$A$8:$A$35,0),MATCH(A23,'Point Grid'!$C$7:$I$7,0))</f>
        <v>0.5</v>
      </c>
      <c r="B24" s="22"/>
      <c r="C24" s="22"/>
      <c r="D24" s="22"/>
      <c r="E24" s="22"/>
      <c r="F24" s="22"/>
      <c r="G24" s="22"/>
      <c r="H24" s="22"/>
      <c r="I24" s="22"/>
      <c r="J24" s="26"/>
      <c r="L24" s="50"/>
      <c r="M24" s="50" t="s">
        <v>155</v>
      </c>
      <c r="N24" s="50"/>
      <c r="O24" s="50"/>
    </row>
    <row r="25" spans="1:16" ht="15" customHeight="1" thickBot="1">
      <c r="A25" s="5"/>
      <c r="B25" s="22"/>
      <c r="C25" s="22"/>
      <c r="D25" s="22"/>
      <c r="E25" s="22"/>
      <c r="F25" s="22"/>
      <c r="G25" s="22"/>
      <c r="H25" s="22"/>
      <c r="I25" s="22"/>
      <c r="J25" s="26"/>
      <c r="L25" s="50"/>
      <c r="M25" s="171"/>
      <c r="N25" s="171"/>
      <c r="O25" s="50"/>
    </row>
    <row r="26" spans="1:16" ht="15" customHeight="1">
      <c r="A26" s="31"/>
      <c r="B26" s="22"/>
      <c r="C26" s="22"/>
      <c r="D26" s="22"/>
      <c r="E26" s="22"/>
      <c r="F26" s="22"/>
      <c r="G26" s="22"/>
      <c r="H26" s="22"/>
      <c r="I26" s="22"/>
      <c r="J26" s="26"/>
      <c r="L26" s="24" t="s">
        <v>62</v>
      </c>
      <c r="M26" s="24" t="s">
        <v>157</v>
      </c>
    </row>
    <row r="27" spans="1:16" ht="15" customHeight="1">
      <c r="A27" s="29" t="s">
        <v>4</v>
      </c>
      <c r="B27" s="22" t="s">
        <v>154</v>
      </c>
      <c r="C27" s="22"/>
      <c r="D27" s="22"/>
      <c r="E27" s="22"/>
      <c r="F27" s="22"/>
      <c r="G27" s="22"/>
      <c r="H27" s="22"/>
      <c r="I27" s="22"/>
      <c r="J27" s="26"/>
    </row>
    <row r="28" spans="1:16" ht="15" customHeight="1" thickBot="1">
      <c r="A28" s="9">
        <f>INDEX('Point Grid'!$C$8:$I$35,MATCH($A$1,'Point Grid'!$A$8:$A$35,0),MATCH(A27,'Point Grid'!$C$7:$I$7,0))</f>
        <v>0.5</v>
      </c>
      <c r="B28" s="22"/>
      <c r="C28" s="22"/>
      <c r="D28" s="22"/>
      <c r="E28" s="22"/>
      <c r="F28" s="22"/>
      <c r="G28" s="22"/>
      <c r="H28" s="22"/>
      <c r="I28" s="22"/>
      <c r="J28" s="26"/>
      <c r="M28" s="24" t="s">
        <v>158</v>
      </c>
    </row>
    <row r="29" spans="1:16" ht="15" customHeight="1" thickBot="1">
      <c r="A29" s="5"/>
      <c r="B29" s="22"/>
      <c r="C29" s="22"/>
      <c r="D29" s="22"/>
      <c r="E29" s="22"/>
      <c r="F29" s="22"/>
      <c r="G29" s="22"/>
      <c r="H29" s="22"/>
      <c r="I29" s="22"/>
      <c r="J29" s="26"/>
      <c r="L29" s="50"/>
      <c r="M29" s="50"/>
      <c r="N29" s="50" t="s">
        <v>167</v>
      </c>
      <c r="O29" s="50"/>
    </row>
    <row r="30" spans="1:16" ht="15" customHeight="1">
      <c r="A30" s="25"/>
      <c r="B30" s="22"/>
      <c r="C30" s="22"/>
      <c r="D30" s="22"/>
      <c r="E30" s="22"/>
      <c r="F30" s="22"/>
      <c r="G30" s="22"/>
      <c r="H30" s="22"/>
      <c r="I30" s="22"/>
      <c r="J30" s="26"/>
      <c r="L30" s="50"/>
      <c r="M30" s="50"/>
      <c r="N30" s="50" t="s">
        <v>961</v>
      </c>
      <c r="O30" s="50"/>
    </row>
    <row r="31" spans="1:16" ht="15" customHeight="1">
      <c r="A31" s="29" t="s">
        <v>5</v>
      </c>
      <c r="B31" s="22" t="s">
        <v>153</v>
      </c>
      <c r="C31" s="22"/>
      <c r="D31" s="22"/>
      <c r="E31" s="22"/>
      <c r="F31" s="22"/>
      <c r="G31" s="22"/>
      <c r="H31" s="22"/>
      <c r="I31" s="22"/>
      <c r="J31" s="26"/>
      <c r="L31" s="50"/>
      <c r="M31" s="50"/>
      <c r="N31" s="50" t="s">
        <v>168</v>
      </c>
      <c r="O31" s="50"/>
    </row>
    <row r="32" spans="1:16" ht="15" customHeight="1" thickBot="1">
      <c r="A32" s="9">
        <f>INDEX('Point Grid'!$C$8:$I$35,MATCH($A$1,'Point Grid'!$A$8:$A$35,0),MATCH(A31,'Point Grid'!$C$7:$I$7,0))</f>
        <v>0.25</v>
      </c>
      <c r="B32" s="22"/>
      <c r="C32" s="22"/>
      <c r="D32" s="22"/>
      <c r="E32" s="22"/>
      <c r="F32" s="22"/>
      <c r="G32" s="22"/>
      <c r="H32" s="22"/>
      <c r="I32" s="22"/>
      <c r="J32" s="26"/>
      <c r="L32" s="50"/>
      <c r="M32" s="50"/>
      <c r="N32" s="50" t="s">
        <v>169</v>
      </c>
      <c r="O32" s="50"/>
    </row>
    <row r="33" spans="1:15" ht="15" customHeight="1" thickBot="1">
      <c r="A33" s="5"/>
      <c r="B33" s="22"/>
      <c r="C33" s="22"/>
      <c r="D33" s="22"/>
      <c r="E33" s="22"/>
      <c r="F33" s="22"/>
      <c r="G33" s="22"/>
      <c r="H33" s="22"/>
      <c r="I33" s="22"/>
      <c r="J33" s="26"/>
      <c r="L33" s="50"/>
      <c r="M33" s="50"/>
      <c r="N33" s="50" t="s">
        <v>170</v>
      </c>
      <c r="O33" s="50"/>
    </row>
    <row r="34" spans="1:15" ht="15" customHeight="1">
      <c r="A34" s="25"/>
      <c r="B34" s="22"/>
      <c r="C34" s="22"/>
      <c r="D34" s="22"/>
      <c r="E34" s="22"/>
      <c r="F34" s="22"/>
      <c r="G34" s="22"/>
      <c r="H34" s="22"/>
      <c r="I34" s="22"/>
      <c r="J34" s="26"/>
      <c r="L34" s="50"/>
      <c r="M34" s="50" t="s">
        <v>159</v>
      </c>
      <c r="N34" s="50"/>
      <c r="O34" s="50"/>
    </row>
    <row r="35" spans="1:15" ht="15" customHeight="1">
      <c r="A35" s="25"/>
      <c r="B35" s="22"/>
      <c r="C35" s="22"/>
      <c r="D35" s="22"/>
      <c r="E35" s="22"/>
      <c r="F35" s="22"/>
      <c r="G35" s="22"/>
      <c r="H35" s="22"/>
      <c r="I35" s="22"/>
      <c r="J35" s="26"/>
      <c r="L35" s="50"/>
      <c r="M35" s="50"/>
      <c r="N35" s="50" t="s">
        <v>164</v>
      </c>
      <c r="O35" s="50"/>
    </row>
    <row r="36" spans="1:15" ht="15" customHeight="1">
      <c r="A36" s="25"/>
      <c r="B36" s="22"/>
      <c r="C36" s="22"/>
      <c r="D36" s="22"/>
      <c r="E36" s="22"/>
      <c r="F36" s="22"/>
      <c r="G36" s="22"/>
      <c r="H36" s="22"/>
      <c r="I36" s="22"/>
      <c r="J36" s="26"/>
      <c r="L36" s="50"/>
      <c r="M36" s="50"/>
      <c r="N36" s="50" t="s">
        <v>165</v>
      </c>
      <c r="O36" s="50"/>
    </row>
    <row r="37" spans="1:15" ht="15" customHeight="1">
      <c r="A37" s="25"/>
      <c r="B37" s="22"/>
      <c r="C37" s="22"/>
      <c r="D37" s="22"/>
      <c r="E37" s="22"/>
      <c r="F37" s="22"/>
      <c r="G37" s="22"/>
      <c r="H37" s="22"/>
      <c r="I37" s="22"/>
      <c r="J37" s="26"/>
      <c r="L37" s="50" t="s">
        <v>5</v>
      </c>
      <c r="M37" s="50"/>
      <c r="N37" s="50"/>
      <c r="O37" s="50"/>
    </row>
    <row r="38" spans="1:15" ht="15" customHeight="1">
      <c r="A38" s="25"/>
      <c r="B38" s="22"/>
      <c r="C38" s="22"/>
      <c r="D38" s="22"/>
      <c r="E38" s="22"/>
      <c r="F38" s="22"/>
      <c r="G38" s="22"/>
      <c r="H38" s="22"/>
      <c r="I38" s="22"/>
      <c r="J38" s="26"/>
      <c r="L38" s="50"/>
      <c r="M38" s="50" t="s">
        <v>166</v>
      </c>
      <c r="N38" s="50"/>
      <c r="O38" s="50"/>
    </row>
    <row r="39" spans="1:15" ht="15" customHeight="1">
      <c r="A39" s="25"/>
      <c r="B39" s="22"/>
      <c r="C39" s="22"/>
      <c r="D39" s="22"/>
      <c r="E39" s="22"/>
      <c r="F39" s="22"/>
      <c r="G39" s="22"/>
      <c r="H39" s="22"/>
      <c r="I39" s="22"/>
      <c r="J39" s="26"/>
      <c r="L39" s="50"/>
      <c r="M39" s="50"/>
      <c r="N39" s="50" t="s">
        <v>160</v>
      </c>
      <c r="O39" s="50"/>
    </row>
    <row r="40" spans="1:15" ht="15" customHeight="1">
      <c r="A40" s="25"/>
      <c r="B40" s="22"/>
      <c r="C40" s="22"/>
      <c r="D40" s="22"/>
      <c r="E40" s="22"/>
      <c r="F40" s="22"/>
      <c r="G40" s="22"/>
      <c r="H40" s="22"/>
      <c r="I40" s="22"/>
      <c r="J40" s="26"/>
      <c r="L40" s="50"/>
      <c r="M40" s="50"/>
      <c r="N40" s="50" t="s">
        <v>161</v>
      </c>
      <c r="O40" s="50"/>
    </row>
    <row r="41" spans="1:15" ht="15" customHeight="1">
      <c r="A41" s="25"/>
      <c r="B41" s="22"/>
      <c r="C41" s="22"/>
      <c r="D41" s="22"/>
      <c r="E41" s="22"/>
      <c r="F41" s="22"/>
      <c r="G41" s="22"/>
      <c r="H41" s="22"/>
      <c r="I41" s="22"/>
      <c r="J41" s="26"/>
      <c r="L41" s="50"/>
      <c r="M41" s="50"/>
      <c r="N41" s="50" t="s">
        <v>162</v>
      </c>
      <c r="O41" s="50"/>
    </row>
    <row r="42" spans="1:15" ht="15" customHeight="1">
      <c r="A42" s="25"/>
      <c r="B42" s="22"/>
      <c r="C42" s="22"/>
      <c r="D42" s="22"/>
      <c r="E42" s="22"/>
      <c r="F42" s="22"/>
      <c r="G42" s="22"/>
      <c r="H42" s="22"/>
      <c r="I42" s="22"/>
      <c r="J42" s="26"/>
      <c r="L42" s="50"/>
      <c r="M42" s="50"/>
      <c r="N42" s="50" t="s">
        <v>163</v>
      </c>
      <c r="O42" s="50"/>
    </row>
    <row r="43" spans="1:15" ht="15" customHeight="1" thickBot="1">
      <c r="A43" s="27"/>
      <c r="B43" s="27"/>
      <c r="C43" s="27"/>
      <c r="D43" s="27"/>
      <c r="E43" s="27"/>
      <c r="F43" s="27"/>
      <c r="G43" s="27"/>
      <c r="H43" s="27"/>
      <c r="I43" s="27"/>
      <c r="J43" s="28"/>
      <c r="L43" s="50"/>
      <c r="M43" s="50"/>
    </row>
    <row r="44" spans="1:15" ht="15" customHeight="1">
      <c r="L44" s="50"/>
      <c r="M44" s="50"/>
    </row>
    <row r="45" spans="1:15" ht="15" customHeight="1">
      <c r="L45" s="50"/>
      <c r="M45" s="50"/>
    </row>
    <row r="46" spans="1:15" ht="15" customHeight="1">
      <c r="L46" s="50"/>
      <c r="M46" s="50"/>
    </row>
    <row r="47" spans="1:15" ht="15" customHeight="1">
      <c r="L47" s="50"/>
      <c r="M47" s="50"/>
    </row>
    <row r="48" spans="1:15" ht="15" customHeight="1">
      <c r="L48" s="50"/>
      <c r="M48" s="50"/>
    </row>
    <row r="49" spans="12:13" ht="15" customHeight="1">
      <c r="L49" s="50"/>
      <c r="M49" s="50"/>
    </row>
    <row r="50" spans="12:13" ht="15" customHeight="1">
      <c r="L50" s="50"/>
      <c r="M50" s="50"/>
    </row>
    <row r="51" spans="12:13" ht="15" customHeight="1">
      <c r="L51" s="50"/>
      <c r="M51" s="50"/>
    </row>
    <row r="52" spans="12:13" ht="15" customHeight="1">
      <c r="L52" s="50"/>
      <c r="M52" s="50"/>
    </row>
    <row r="53" spans="12:13" ht="15" customHeight="1">
      <c r="L53" s="50"/>
      <c r="M53" s="50"/>
    </row>
    <row r="54" spans="12:13" ht="15" customHeight="1">
      <c r="L54" s="50"/>
      <c r="M54" s="50"/>
    </row>
    <row r="55" spans="12:13" ht="15" customHeight="1">
      <c r="L55" s="50"/>
      <c r="M55" s="50"/>
    </row>
    <row r="56" spans="12:13" ht="15" customHeight="1">
      <c r="L56" s="50"/>
      <c r="M56" s="50"/>
    </row>
    <row r="57" spans="12:13" ht="15" customHeight="1">
      <c r="L57" s="50"/>
      <c r="M57" s="50"/>
    </row>
    <row r="58" spans="12:13" ht="15" customHeight="1">
      <c r="L58" s="50"/>
      <c r="M58" s="50"/>
    </row>
    <row r="59" spans="12:13" ht="15" customHeight="1">
      <c r="L59" s="50"/>
      <c r="M59" s="50"/>
    </row>
    <row r="60" spans="12:13" ht="15" customHeight="1">
      <c r="L60" s="50"/>
      <c r="M60" s="50"/>
    </row>
    <row r="61" spans="12:13" ht="15" customHeight="1">
      <c r="L61" s="50"/>
      <c r="M61" s="50"/>
    </row>
    <row r="62" spans="12:13" ht="15" customHeight="1">
      <c r="L62" s="50"/>
      <c r="M62" s="50"/>
    </row>
    <row r="63" spans="12:13" ht="15" customHeight="1">
      <c r="L63" s="50"/>
      <c r="M63" s="50"/>
    </row>
    <row r="64" spans="12:13" ht="15" customHeight="1">
      <c r="L64" s="50"/>
      <c r="M64" s="50"/>
    </row>
    <row r="65" spans="12:13" ht="15" customHeight="1">
      <c r="L65" s="50"/>
      <c r="M65" s="50"/>
    </row>
    <row r="66" spans="12:13" ht="15" customHeight="1">
      <c r="L66" s="50"/>
      <c r="M66" s="50"/>
    </row>
    <row r="67" spans="12:13" ht="15" customHeight="1">
      <c r="L67" s="50"/>
      <c r="M67" s="50"/>
    </row>
    <row r="68" spans="12:13" ht="15" customHeight="1">
      <c r="L68" s="50"/>
      <c r="M68" s="50"/>
    </row>
    <row r="69" spans="12:13" ht="15" customHeight="1">
      <c r="L69" s="50"/>
      <c r="M69" s="50"/>
    </row>
    <row r="70" spans="12:13" ht="15" customHeight="1">
      <c r="L70" s="50"/>
      <c r="M70" s="50"/>
    </row>
    <row r="71" spans="12:13" ht="15" customHeight="1">
      <c r="L71" s="50"/>
      <c r="M71" s="50"/>
    </row>
    <row r="72" spans="12:13" ht="15" customHeight="1">
      <c r="L72" s="50"/>
      <c r="M72" s="50"/>
    </row>
    <row r="73" spans="12:13" ht="15" customHeight="1">
      <c r="L73" s="50"/>
      <c r="M73" s="50"/>
    </row>
    <row r="74" spans="12:13" ht="15" customHeight="1">
      <c r="L74" s="50"/>
      <c r="M74" s="50"/>
    </row>
    <row r="75" spans="12:13" ht="15" customHeight="1">
      <c r="L75" s="50"/>
      <c r="M75" s="50"/>
    </row>
    <row r="76" spans="12:13" ht="15" customHeight="1">
      <c r="L76" s="50"/>
      <c r="M76" s="50"/>
    </row>
    <row r="77" spans="12:13" ht="15" customHeight="1">
      <c r="L77" s="50"/>
      <c r="M77" s="50"/>
    </row>
    <row r="78" spans="12:13" ht="15" customHeight="1">
      <c r="L78" s="50"/>
      <c r="M78" s="50"/>
    </row>
    <row r="79" spans="12:13" ht="15" customHeight="1">
      <c r="L79" s="50"/>
      <c r="M79" s="50"/>
    </row>
    <row r="80" spans="12:13" ht="15" customHeight="1">
      <c r="L80" s="50"/>
      <c r="M80" s="50"/>
    </row>
    <row r="81" spans="12:13" ht="15" customHeight="1">
      <c r="L81" s="50"/>
      <c r="M81" s="50"/>
    </row>
    <row r="82" spans="12:13" ht="15" customHeight="1">
      <c r="L82" s="50"/>
      <c r="M82" s="50"/>
    </row>
    <row r="83" spans="12:13" ht="15" customHeight="1">
      <c r="L83" s="50"/>
      <c r="M83" s="50"/>
    </row>
    <row r="84" spans="12:13" ht="15" customHeight="1">
      <c r="L84" s="50"/>
      <c r="M84" s="50"/>
    </row>
    <row r="85" spans="12:13" ht="15" customHeight="1">
      <c r="L85" s="50"/>
      <c r="M85" s="50"/>
    </row>
    <row r="86" spans="12:13" ht="15" customHeight="1">
      <c r="L86" s="50"/>
      <c r="M86" s="50"/>
    </row>
    <row r="87" spans="12:13" ht="15" customHeight="1">
      <c r="L87" s="50"/>
      <c r="M87" s="50"/>
    </row>
    <row r="88" spans="12:13" ht="15" customHeight="1">
      <c r="L88" s="50"/>
      <c r="M88" s="50"/>
    </row>
    <row r="89" spans="12:13" ht="15" customHeight="1">
      <c r="L89" s="50"/>
      <c r="M89" s="50"/>
    </row>
    <row r="90" spans="12:13" ht="15" customHeight="1">
      <c r="L90" s="50"/>
      <c r="M90" s="50"/>
    </row>
    <row r="91" spans="12:13" ht="15" customHeight="1">
      <c r="L91" s="50"/>
      <c r="M91" s="50"/>
    </row>
    <row r="92" spans="12:13" ht="15" customHeight="1">
      <c r="L92" s="50"/>
      <c r="M92" s="50"/>
    </row>
    <row r="93" spans="12:13" ht="15" customHeight="1">
      <c r="L93" s="50"/>
      <c r="M93" s="50"/>
    </row>
    <row r="94" spans="12:13" ht="15" customHeight="1">
      <c r="L94" s="50"/>
      <c r="M94" s="50"/>
    </row>
    <row r="95" spans="12:13" ht="15" customHeight="1">
      <c r="L95" s="50"/>
      <c r="M95" s="50"/>
    </row>
    <row r="96" spans="12:13" ht="15" customHeight="1">
      <c r="L96" s="50"/>
      <c r="M96" s="50"/>
    </row>
    <row r="97" spans="12:13" ht="15" customHeight="1">
      <c r="L97" s="50"/>
      <c r="M97" s="50"/>
    </row>
    <row r="98" spans="12:13" ht="15" customHeight="1">
      <c r="L98" s="50"/>
      <c r="M98" s="50"/>
    </row>
    <row r="99" spans="12:13" ht="15" customHeight="1">
      <c r="L99" s="50"/>
      <c r="M99" s="50"/>
    </row>
    <row r="100" spans="12:13" ht="15" customHeight="1">
      <c r="L100" s="50"/>
      <c r="M100" s="50"/>
    </row>
    <row r="101" spans="12:13" ht="15" customHeight="1">
      <c r="L101" s="50"/>
      <c r="M101" s="50"/>
    </row>
    <row r="102" spans="12:13" ht="15" customHeight="1">
      <c r="L102" s="50"/>
      <c r="M102" s="50"/>
    </row>
    <row r="103" spans="12:13" ht="15" customHeight="1">
      <c r="L103" s="50"/>
      <c r="M103" s="50"/>
    </row>
    <row r="104" spans="12:13" ht="15" customHeight="1">
      <c r="L104" s="50"/>
      <c r="M104" s="50"/>
    </row>
    <row r="105" spans="12:13" ht="15" customHeight="1">
      <c r="L105" s="50"/>
      <c r="M105" s="50"/>
    </row>
    <row r="106" spans="12:13" ht="15" customHeight="1"/>
    <row r="107" spans="12:13" ht="15" customHeight="1"/>
    <row r="108" spans="12:13" ht="15" customHeight="1"/>
    <row r="109" spans="12:13" ht="15" customHeight="1"/>
    <row r="110" spans="12:13" ht="15" customHeight="1"/>
    <row r="111" spans="12:13" ht="15" customHeight="1"/>
    <row r="112" spans="12:13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</sheetData>
  <mergeCells count="1">
    <mergeCell ref="I1:J1"/>
  </mergeCells>
  <conditionalFormatting sqref="B1">
    <cfRule type="cellIs" dxfId="20" priority="1" operator="equal">
      <formula>"Incomplete"</formula>
    </cfRule>
    <cfRule type="cellIs" dxfId="19" priority="2" operator="equal">
      <formula>"Flag for Review"</formula>
    </cfRule>
    <cfRule type="cellIs" dxfId="18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  <hyperlink ref="I1:J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M92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3">
      <c r="A1" s="7">
        <v>22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</row>
    <row r="2" spans="1:13">
      <c r="A2" s="25"/>
      <c r="B2" s="22"/>
      <c r="C2" s="22"/>
      <c r="D2" s="22"/>
      <c r="E2" s="22"/>
      <c r="F2" s="22"/>
      <c r="G2" s="22"/>
      <c r="H2" s="22"/>
      <c r="I2" s="26"/>
    </row>
    <row r="3" spans="1:13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</row>
    <row r="4" spans="1:13" ht="15" customHeight="1">
      <c r="A4" s="9">
        <f>INDEX('Point Grid'!B:B,MATCH($A$1,'Point Grid'!A:A,0))</f>
        <v>2</v>
      </c>
      <c r="B4" s="22"/>
      <c r="C4" s="22"/>
      <c r="D4" s="22"/>
      <c r="E4" s="22"/>
      <c r="F4" s="22"/>
      <c r="G4" s="22"/>
      <c r="H4" s="22"/>
      <c r="I4" s="26"/>
    </row>
    <row r="5" spans="1:13" ht="15" customHeight="1">
      <c r="A5" s="25"/>
      <c r="B5" s="22"/>
      <c r="C5" s="22"/>
      <c r="D5" s="22"/>
      <c r="E5" s="22"/>
      <c r="F5" s="22"/>
      <c r="G5" s="22"/>
      <c r="H5" s="22"/>
      <c r="I5" s="26"/>
      <c r="K5" s="50" t="s">
        <v>2</v>
      </c>
      <c r="L5" s="1" t="s">
        <v>84</v>
      </c>
      <c r="M5" s="50"/>
    </row>
    <row r="6" spans="1:13" ht="15" customHeight="1">
      <c r="A6" s="29" t="s">
        <v>2</v>
      </c>
      <c r="B6" s="22" t="s">
        <v>89</v>
      </c>
      <c r="C6" s="22"/>
      <c r="D6" s="22"/>
      <c r="E6" s="22"/>
      <c r="F6" s="22"/>
      <c r="G6" s="22"/>
      <c r="H6" s="22"/>
      <c r="I6" s="26"/>
      <c r="K6" s="50"/>
      <c r="L6" s="182">
        <v>1</v>
      </c>
      <c r="M6" s="50" t="s">
        <v>236</v>
      </c>
    </row>
    <row r="7" spans="1:13" ht="15" customHeight="1" thickBot="1">
      <c r="A7" s="9">
        <f>INDEX('Point Grid'!$C$8:$I$35,MATCH($A$1,'Point Grid'!$A$8:$A$35,0),MATCH(A6,'Point Grid'!$C$7:$I$7,0))</f>
        <v>1.5</v>
      </c>
      <c r="B7" s="22"/>
      <c r="C7" s="22"/>
      <c r="D7" s="22"/>
      <c r="E7" s="22"/>
      <c r="F7" s="22"/>
      <c r="G7" s="22"/>
      <c r="H7" s="22"/>
      <c r="I7" s="26"/>
      <c r="K7" s="50"/>
      <c r="L7" s="182">
        <v>2</v>
      </c>
      <c r="M7" s="50" t="s">
        <v>85</v>
      </c>
    </row>
    <row r="8" spans="1:13" ht="15" customHeight="1" thickBot="1">
      <c r="A8" s="5"/>
      <c r="B8" s="22"/>
      <c r="C8" s="22"/>
      <c r="D8" s="22"/>
      <c r="E8" s="22"/>
      <c r="F8" s="22"/>
      <c r="G8" s="22"/>
      <c r="H8" s="22"/>
      <c r="I8" s="26"/>
      <c r="K8" s="50"/>
      <c r="L8" s="182">
        <v>3</v>
      </c>
      <c r="M8" s="50" t="s">
        <v>86</v>
      </c>
    </row>
    <row r="9" spans="1:13" ht="15" customHeight="1">
      <c r="A9" s="31"/>
      <c r="B9" s="22"/>
      <c r="C9" s="22"/>
      <c r="D9" s="22"/>
      <c r="E9" s="22"/>
      <c r="F9" s="22"/>
      <c r="G9" s="22"/>
      <c r="H9" s="22"/>
      <c r="I9" s="26"/>
      <c r="K9" s="50"/>
      <c r="L9" s="182">
        <v>4</v>
      </c>
      <c r="M9" s="50" t="s">
        <v>87</v>
      </c>
    </row>
    <row r="10" spans="1:13" ht="15" customHeight="1">
      <c r="A10" s="29" t="s">
        <v>3</v>
      </c>
      <c r="B10" s="22" t="s">
        <v>88</v>
      </c>
      <c r="C10" s="22"/>
      <c r="D10" s="22"/>
      <c r="E10" s="22"/>
      <c r="F10" s="22"/>
      <c r="G10" s="22"/>
      <c r="H10" s="22"/>
      <c r="I10" s="26"/>
      <c r="K10" s="50"/>
      <c r="L10" s="182">
        <v>5</v>
      </c>
      <c r="M10" s="50" t="s">
        <v>962</v>
      </c>
    </row>
    <row r="11" spans="1:13" ht="15" customHeight="1" thickBot="1">
      <c r="A11" s="9">
        <f>INDEX('Point Grid'!$C$8:$I$35,MATCH($A$1,'Point Grid'!$A$8:$A$35,0),MATCH(A10,'Point Grid'!$C$7:$I$7,0))</f>
        <v>0.5</v>
      </c>
      <c r="B11" s="22"/>
      <c r="C11" s="22"/>
      <c r="D11" s="22"/>
      <c r="E11" s="22"/>
      <c r="F11" s="22"/>
      <c r="G11" s="22"/>
      <c r="H11" s="22"/>
      <c r="I11" s="26"/>
      <c r="K11" s="50"/>
      <c r="L11" s="50" t="s">
        <v>90</v>
      </c>
      <c r="M11" s="50"/>
    </row>
    <row r="12" spans="1:13" ht="15" customHeight="1" thickBot="1">
      <c r="A12" s="5"/>
      <c r="B12" s="22"/>
      <c r="C12" s="22"/>
      <c r="D12" s="22"/>
      <c r="E12" s="22"/>
      <c r="F12" s="22"/>
      <c r="G12" s="22"/>
      <c r="H12" s="22"/>
      <c r="I12" s="26"/>
      <c r="K12" s="50"/>
      <c r="L12" s="50"/>
      <c r="M12" s="50"/>
    </row>
    <row r="13" spans="1:13" ht="15" customHeight="1">
      <c r="A13" s="25"/>
      <c r="B13" s="22"/>
      <c r="C13" s="22"/>
      <c r="D13" s="22"/>
      <c r="E13" s="22"/>
      <c r="F13" s="22"/>
      <c r="G13" s="22"/>
      <c r="H13" s="22"/>
      <c r="I13" s="26"/>
      <c r="K13" s="50" t="s">
        <v>3</v>
      </c>
      <c r="L13" s="50"/>
      <c r="M13" s="50"/>
    </row>
    <row r="14" spans="1:13" ht="15" customHeight="1" thickBot="1">
      <c r="A14" s="27"/>
      <c r="B14" s="27"/>
      <c r="C14" s="27"/>
      <c r="D14" s="27"/>
      <c r="E14" s="27"/>
      <c r="F14" s="27"/>
      <c r="G14" s="27"/>
      <c r="H14" s="27"/>
      <c r="I14" s="28"/>
      <c r="K14" s="50"/>
      <c r="L14" s="1" t="s">
        <v>92</v>
      </c>
      <c r="M14" s="50"/>
    </row>
    <row r="15" spans="1:13" ht="15" customHeight="1">
      <c r="A15"/>
      <c r="B15"/>
      <c r="C15"/>
      <c r="D15"/>
      <c r="E15"/>
      <c r="F15"/>
      <c r="G15"/>
      <c r="H15"/>
      <c r="I15"/>
      <c r="K15" s="50"/>
      <c r="L15" s="50"/>
      <c r="M15" s="50"/>
    </row>
    <row r="16" spans="1:13" ht="15" customHeight="1">
      <c r="A16"/>
      <c r="B16"/>
      <c r="C16"/>
      <c r="D16"/>
      <c r="E16"/>
      <c r="F16"/>
      <c r="G16"/>
      <c r="H16"/>
      <c r="I16"/>
      <c r="K16" s="50"/>
      <c r="L16" s="50" t="s">
        <v>237</v>
      </c>
      <c r="M16" s="50"/>
    </row>
    <row r="17" spans="1:12" ht="15" customHeight="1">
      <c r="A17"/>
      <c r="B17"/>
      <c r="C17"/>
      <c r="D17"/>
      <c r="E17"/>
      <c r="F17"/>
      <c r="G17"/>
      <c r="H17"/>
      <c r="I17"/>
      <c r="L17" s="50" t="s">
        <v>238</v>
      </c>
    </row>
    <row r="18" spans="1:12" ht="15" customHeight="1">
      <c r="A18"/>
      <c r="B18"/>
      <c r="C18"/>
      <c r="D18"/>
      <c r="E18"/>
      <c r="F18"/>
      <c r="G18"/>
      <c r="H18"/>
      <c r="I18"/>
      <c r="L18" s="50" t="s">
        <v>90</v>
      </c>
    </row>
    <row r="19" spans="1:12" ht="15" customHeight="1">
      <c r="A19"/>
      <c r="B19"/>
      <c r="C19"/>
      <c r="D19"/>
      <c r="E19"/>
      <c r="F19"/>
      <c r="G19"/>
      <c r="H19"/>
      <c r="I19"/>
    </row>
    <row r="20" spans="1:12" ht="15" customHeight="1">
      <c r="A20"/>
      <c r="B20"/>
      <c r="C20"/>
      <c r="D20"/>
      <c r="E20"/>
      <c r="F20"/>
      <c r="G20"/>
      <c r="H20"/>
      <c r="I20"/>
    </row>
    <row r="21" spans="1:12" ht="15" customHeight="1">
      <c r="A21"/>
      <c r="B21"/>
      <c r="C21"/>
      <c r="D21"/>
      <c r="E21"/>
      <c r="F21"/>
      <c r="G21"/>
      <c r="H21"/>
      <c r="I21"/>
    </row>
    <row r="22" spans="1:12" ht="15" customHeight="1">
      <c r="A22"/>
      <c r="B22"/>
      <c r="C22"/>
      <c r="D22"/>
      <c r="E22"/>
      <c r="F22"/>
      <c r="G22"/>
      <c r="H22"/>
      <c r="I22"/>
    </row>
    <row r="23" spans="1:12" ht="15" customHeight="1">
      <c r="A23"/>
      <c r="B23"/>
      <c r="C23"/>
      <c r="D23"/>
      <c r="E23"/>
      <c r="F23"/>
      <c r="G23"/>
      <c r="H23"/>
      <c r="I23"/>
    </row>
    <row r="24" spans="1:12" ht="15" customHeight="1">
      <c r="A24"/>
      <c r="B24"/>
      <c r="C24"/>
      <c r="D24"/>
      <c r="E24"/>
      <c r="F24"/>
      <c r="G24"/>
      <c r="H24"/>
      <c r="I24"/>
    </row>
    <row r="25" spans="1:12" ht="15" customHeight="1">
      <c r="A25"/>
      <c r="B25"/>
      <c r="C25"/>
      <c r="D25"/>
      <c r="E25"/>
      <c r="F25"/>
      <c r="G25"/>
      <c r="H25"/>
      <c r="I25"/>
    </row>
    <row r="26" spans="1:12" ht="15" customHeight="1">
      <c r="A26"/>
      <c r="B26"/>
      <c r="C26"/>
      <c r="D26"/>
      <c r="E26"/>
      <c r="F26"/>
      <c r="G26"/>
      <c r="H26"/>
      <c r="I26"/>
    </row>
    <row r="27" spans="1:12" ht="15" customHeight="1">
      <c r="A27"/>
      <c r="B27"/>
      <c r="C27"/>
      <c r="D27"/>
      <c r="E27"/>
      <c r="F27"/>
      <c r="G27"/>
      <c r="H27"/>
      <c r="I27"/>
    </row>
    <row r="28" spans="1:12" ht="15" customHeight="1">
      <c r="A28"/>
      <c r="B28"/>
      <c r="C28"/>
      <c r="D28"/>
      <c r="E28"/>
      <c r="F28"/>
      <c r="G28"/>
      <c r="H28"/>
      <c r="I28"/>
    </row>
    <row r="29" spans="1:12" ht="15" customHeight="1">
      <c r="A29"/>
      <c r="B29"/>
      <c r="C29"/>
      <c r="D29"/>
      <c r="E29"/>
      <c r="F29"/>
      <c r="G29"/>
      <c r="H29"/>
      <c r="I29"/>
    </row>
    <row r="30" spans="1:12" ht="15" customHeight="1">
      <c r="A30"/>
      <c r="B30"/>
      <c r="C30"/>
      <c r="D30"/>
      <c r="E30"/>
      <c r="F30"/>
      <c r="G30"/>
      <c r="H30"/>
      <c r="I30"/>
    </row>
    <row r="31" spans="1:12" ht="15" customHeight="1"/>
    <row r="32" spans="1:1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</sheetData>
  <mergeCells count="1">
    <mergeCell ref="H1:I1"/>
  </mergeCells>
  <conditionalFormatting sqref="B1">
    <cfRule type="cellIs" dxfId="17" priority="1" operator="equal">
      <formula>"Incomplete"</formula>
    </cfRule>
    <cfRule type="cellIs" dxfId="16" priority="2" operator="equal">
      <formula>"Flag for Review"</formula>
    </cfRule>
    <cfRule type="cellIs" dxfId="15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T94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11" width="10.7109375" style="24" customWidth="1"/>
    <col min="12" max="12" width="9.140625" style="24" customWidth="1"/>
    <col min="13" max="16384" width="9.140625" style="24"/>
  </cols>
  <sheetData>
    <row r="1" spans="1:20">
      <c r="A1" s="7">
        <v>23</v>
      </c>
      <c r="B1" s="32" t="s">
        <v>12</v>
      </c>
      <c r="C1" s="23"/>
      <c r="D1" s="23"/>
      <c r="E1" s="23"/>
      <c r="F1" s="23"/>
      <c r="G1" s="23"/>
      <c r="H1" s="23"/>
      <c r="I1" s="23"/>
      <c r="J1" s="469" t="s">
        <v>30</v>
      </c>
      <c r="K1" s="472"/>
      <c r="M1" s="50" t="s">
        <v>316</v>
      </c>
      <c r="N1" s="50"/>
      <c r="O1" s="50"/>
      <c r="P1" s="50"/>
      <c r="Q1" s="50"/>
      <c r="R1" s="50"/>
      <c r="S1" s="50"/>
      <c r="T1" s="50"/>
    </row>
    <row r="2" spans="1:20">
      <c r="A2" s="25"/>
      <c r="B2" s="22"/>
      <c r="C2" s="22"/>
      <c r="D2" s="22"/>
      <c r="E2" s="22"/>
      <c r="F2" s="22"/>
      <c r="G2" s="22"/>
      <c r="H2" s="22"/>
      <c r="I2" s="22"/>
      <c r="J2" s="22"/>
      <c r="K2" s="26"/>
      <c r="M2" s="50"/>
      <c r="N2" s="50"/>
      <c r="O2" s="50"/>
      <c r="P2" s="50"/>
      <c r="Q2" s="50"/>
      <c r="R2" s="50"/>
      <c r="S2" s="50"/>
      <c r="T2" s="50"/>
    </row>
    <row r="3" spans="1:20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6"/>
      <c r="M3" s="50" t="s">
        <v>2</v>
      </c>
      <c r="N3" s="50" t="s">
        <v>207</v>
      </c>
      <c r="O3" s="50"/>
      <c r="R3" s="50"/>
      <c r="S3" s="50"/>
      <c r="T3" s="50"/>
    </row>
    <row r="4" spans="1:20" ht="15" customHeight="1">
      <c r="A4" s="9">
        <f>INDEX('Point Grid'!B:B,MATCH($A$1,'Point Grid'!A:A,0))</f>
        <v>4</v>
      </c>
      <c r="B4" s="22" t="s">
        <v>231</v>
      </c>
      <c r="C4" s="22"/>
      <c r="D4" s="22"/>
      <c r="E4" s="22"/>
      <c r="F4" s="22"/>
      <c r="G4" s="22"/>
      <c r="H4" s="22"/>
      <c r="I4" s="22"/>
      <c r="J4" s="22"/>
      <c r="K4" s="26"/>
      <c r="M4" s="50"/>
      <c r="N4" s="50" t="s">
        <v>240</v>
      </c>
      <c r="O4" s="50"/>
      <c r="R4" s="50"/>
      <c r="S4" s="50"/>
      <c r="T4" s="50"/>
    </row>
    <row r="5" spans="1:20" ht="15" customHeight="1">
      <c r="A5" s="25"/>
      <c r="B5" s="22" t="s">
        <v>230</v>
      </c>
      <c r="C5" s="22"/>
      <c r="D5" s="22"/>
      <c r="E5" s="22"/>
      <c r="F5" s="22"/>
      <c r="G5" s="22"/>
      <c r="H5" s="22"/>
      <c r="I5" s="22"/>
      <c r="J5" s="22"/>
      <c r="K5" s="26"/>
      <c r="M5" s="50"/>
      <c r="N5" s="50" t="s">
        <v>208</v>
      </c>
      <c r="O5" s="50"/>
      <c r="R5" s="50"/>
      <c r="S5" s="50"/>
      <c r="T5" s="50"/>
    </row>
    <row r="6" spans="1:20" ht="15" customHeight="1">
      <c r="A6" s="25"/>
      <c r="B6" s="22"/>
      <c r="C6" s="22"/>
      <c r="D6" s="22"/>
      <c r="E6" s="22"/>
      <c r="F6" s="22"/>
      <c r="G6" s="22"/>
      <c r="H6" s="22"/>
      <c r="I6" s="22"/>
      <c r="J6" s="22"/>
      <c r="K6" s="26"/>
      <c r="M6" s="50"/>
      <c r="N6" s="50" t="s">
        <v>209</v>
      </c>
      <c r="O6" s="50"/>
      <c r="R6" s="50"/>
      <c r="S6" s="50"/>
      <c r="T6" s="50"/>
    </row>
    <row r="7" spans="1:20" ht="15" customHeight="1">
      <c r="A7" s="29" t="s">
        <v>2</v>
      </c>
      <c r="B7" s="22" t="s">
        <v>181</v>
      </c>
      <c r="C7" s="22"/>
      <c r="D7" s="22"/>
      <c r="E7" s="22"/>
      <c r="F7" s="22"/>
      <c r="G7" s="22"/>
      <c r="H7" s="22"/>
      <c r="I7" s="22"/>
      <c r="J7" s="22"/>
      <c r="K7" s="26"/>
      <c r="M7" s="50"/>
      <c r="N7" s="50" t="s">
        <v>211</v>
      </c>
      <c r="O7" s="50"/>
      <c r="R7" s="50"/>
      <c r="S7" s="50"/>
      <c r="T7" s="50"/>
    </row>
    <row r="8" spans="1:20" ht="15" customHeight="1" thickBot="1">
      <c r="A8" s="9">
        <f>INDEX('Point Grid'!$C$8:$I$35,MATCH($A$1,'Point Grid'!$A$8:$A$35,0),MATCH(A7,'Point Grid'!$C$7:$I$7,0))</f>
        <v>1</v>
      </c>
      <c r="B8" s="22" t="s">
        <v>210</v>
      </c>
      <c r="C8" s="22"/>
      <c r="D8" s="22"/>
      <c r="E8" s="22"/>
      <c r="F8" s="22"/>
      <c r="G8" s="22"/>
      <c r="H8" s="22"/>
      <c r="I8" s="22"/>
      <c r="J8" s="22"/>
      <c r="K8" s="26"/>
      <c r="M8" s="50"/>
      <c r="N8" s="50"/>
      <c r="O8" s="50"/>
      <c r="R8" s="50"/>
      <c r="S8" s="50"/>
      <c r="T8" s="50"/>
    </row>
    <row r="9" spans="1:20" ht="15" customHeight="1" thickBot="1">
      <c r="A9" s="5"/>
      <c r="B9" s="22" t="s">
        <v>182</v>
      </c>
      <c r="C9" s="22"/>
      <c r="D9" s="22"/>
      <c r="E9" s="22"/>
      <c r="F9" s="22"/>
      <c r="G9" s="22"/>
      <c r="H9" s="22"/>
      <c r="I9" s="22"/>
      <c r="J9" s="22"/>
      <c r="K9" s="26"/>
      <c r="M9" s="50" t="s">
        <v>3</v>
      </c>
      <c r="N9" s="50" t="s">
        <v>200</v>
      </c>
      <c r="O9" s="50"/>
      <c r="R9" s="50"/>
      <c r="S9" s="50"/>
      <c r="T9" s="50"/>
    </row>
    <row r="10" spans="1:20" ht="15" customHeight="1">
      <c r="A10" s="31"/>
      <c r="B10" s="22"/>
      <c r="C10" s="22"/>
      <c r="D10" s="22"/>
      <c r="E10" s="22"/>
      <c r="F10" s="22"/>
      <c r="G10" s="22"/>
      <c r="H10" s="22"/>
      <c r="I10" s="22"/>
      <c r="J10" s="22"/>
      <c r="K10" s="26"/>
      <c r="M10" s="50"/>
      <c r="N10" s="50" t="s">
        <v>241</v>
      </c>
      <c r="O10" s="50"/>
      <c r="R10" s="50"/>
      <c r="S10" s="50"/>
      <c r="T10" s="50"/>
    </row>
    <row r="11" spans="1:20" ht="15" customHeight="1">
      <c r="A11" s="29" t="s">
        <v>3</v>
      </c>
      <c r="B11" s="22" t="s">
        <v>183</v>
      </c>
      <c r="C11" s="22"/>
      <c r="D11" s="22"/>
      <c r="E11" s="22"/>
      <c r="F11" s="22"/>
      <c r="G11" s="22"/>
      <c r="H11" s="22"/>
      <c r="I11" s="22"/>
      <c r="J11" s="22"/>
      <c r="K11" s="26"/>
      <c r="M11" s="50"/>
      <c r="N11" s="50"/>
      <c r="O11" s="50" t="s">
        <v>201</v>
      </c>
      <c r="R11" s="50"/>
      <c r="S11" s="50"/>
      <c r="T11" s="50"/>
    </row>
    <row r="12" spans="1:20" ht="15" customHeight="1" thickBot="1">
      <c r="A12" s="9">
        <f>INDEX('Point Grid'!$C$8:$I$35,MATCH($A$1,'Point Grid'!$A$8:$A$35,0),MATCH(A11,'Point Grid'!$C$7:$I$7,0))</f>
        <v>1.25</v>
      </c>
      <c r="B12" s="22" t="s">
        <v>239</v>
      </c>
      <c r="C12" s="22"/>
      <c r="D12" s="22"/>
      <c r="E12" s="22"/>
      <c r="F12" s="22"/>
      <c r="G12" s="22"/>
      <c r="H12" s="22"/>
      <c r="I12" s="22"/>
      <c r="J12" s="22"/>
      <c r="K12" s="26"/>
      <c r="M12" s="50"/>
      <c r="N12" s="50"/>
      <c r="O12" s="50" t="s">
        <v>202</v>
      </c>
      <c r="R12" s="50"/>
      <c r="S12" s="50"/>
      <c r="T12" s="50"/>
    </row>
    <row r="13" spans="1:20" ht="15" customHeight="1" thickBot="1">
      <c r="A13" s="5"/>
      <c r="B13" s="22" t="s">
        <v>206</v>
      </c>
      <c r="C13" s="22"/>
      <c r="D13" s="22"/>
      <c r="E13" s="22"/>
      <c r="F13" s="22"/>
      <c r="G13" s="22"/>
      <c r="H13" s="22"/>
      <c r="I13" s="22"/>
      <c r="J13" s="22"/>
      <c r="K13" s="26"/>
      <c r="M13" s="50"/>
      <c r="N13" s="50"/>
      <c r="O13" s="50" t="s">
        <v>203</v>
      </c>
      <c r="R13" s="50"/>
      <c r="S13" s="50"/>
      <c r="T13" s="50"/>
    </row>
    <row r="14" spans="1:20" ht="15" customHeight="1">
      <c r="A14" s="31"/>
      <c r="B14" s="22"/>
      <c r="C14" s="22"/>
      <c r="D14" s="22"/>
      <c r="E14" s="22"/>
      <c r="F14" s="22"/>
      <c r="G14" s="22"/>
      <c r="H14" s="22"/>
      <c r="I14" s="22"/>
      <c r="J14" s="22"/>
      <c r="K14" s="26"/>
      <c r="M14" s="50"/>
      <c r="N14" s="50"/>
      <c r="O14" s="50" t="s">
        <v>204</v>
      </c>
      <c r="R14" s="50"/>
      <c r="S14" s="50"/>
      <c r="T14" s="50"/>
    </row>
    <row r="15" spans="1:20" ht="15" customHeight="1">
      <c r="A15" s="29" t="s">
        <v>4</v>
      </c>
      <c r="B15" s="22" t="s">
        <v>184</v>
      </c>
      <c r="C15" s="22"/>
      <c r="D15" s="22"/>
      <c r="E15" s="22"/>
      <c r="F15" s="22"/>
      <c r="G15" s="22"/>
      <c r="H15" s="22"/>
      <c r="I15" s="22"/>
      <c r="J15" s="22"/>
      <c r="K15" s="26"/>
      <c r="M15" s="50"/>
      <c r="N15" s="50" t="s">
        <v>205</v>
      </c>
      <c r="O15" s="50"/>
      <c r="R15" s="50"/>
      <c r="S15" s="50"/>
      <c r="T15" s="50"/>
    </row>
    <row r="16" spans="1:20" ht="15" customHeight="1" thickBot="1">
      <c r="A16" s="9">
        <f>INDEX('Point Grid'!$C$8:$I$35,MATCH($A$1,'Point Grid'!$A$8:$A$35,0),MATCH(A15,'Point Grid'!$C$7:$I$7,0))</f>
        <v>1.25</v>
      </c>
      <c r="B16" s="22" t="s">
        <v>185</v>
      </c>
      <c r="C16" s="22"/>
      <c r="D16" s="22"/>
      <c r="E16" s="22"/>
      <c r="F16" s="22"/>
      <c r="G16" s="22"/>
      <c r="H16" s="22"/>
      <c r="I16" s="22"/>
      <c r="J16" s="22"/>
      <c r="K16" s="26"/>
      <c r="M16" s="50"/>
      <c r="N16" s="50" t="s">
        <v>242</v>
      </c>
      <c r="O16" s="50"/>
      <c r="R16" s="50"/>
      <c r="S16" s="50"/>
      <c r="T16" s="50"/>
    </row>
    <row r="17" spans="1:20" ht="15" customHeight="1" thickBot="1">
      <c r="A17" s="5"/>
      <c r="B17" s="22" t="s">
        <v>186</v>
      </c>
      <c r="C17" s="22"/>
      <c r="D17" s="22"/>
      <c r="E17" s="22"/>
      <c r="F17" s="22"/>
      <c r="G17" s="22"/>
      <c r="H17" s="22"/>
      <c r="I17" s="22"/>
      <c r="J17" s="22"/>
      <c r="K17" s="26"/>
      <c r="M17" s="50"/>
      <c r="N17" s="50"/>
      <c r="O17" s="50"/>
      <c r="R17" s="50"/>
      <c r="S17" s="50"/>
      <c r="T17" s="50"/>
    </row>
    <row r="18" spans="1:20" ht="15" customHeight="1">
      <c r="A18" s="25"/>
      <c r="B18" s="22" t="s">
        <v>302</v>
      </c>
      <c r="C18" s="22"/>
      <c r="D18" s="22"/>
      <c r="E18" s="22"/>
      <c r="F18" s="22"/>
      <c r="G18" s="22"/>
      <c r="H18" s="22"/>
      <c r="I18" s="22"/>
      <c r="J18" s="22"/>
      <c r="K18" s="26"/>
      <c r="M18" s="50" t="s">
        <v>62</v>
      </c>
      <c r="N18" s="50" t="s">
        <v>196</v>
      </c>
      <c r="O18" s="50"/>
      <c r="R18" s="50"/>
      <c r="S18" s="50"/>
      <c r="T18" s="50"/>
    </row>
    <row r="19" spans="1:20" ht="15" customHeight="1">
      <c r="A19" s="25"/>
      <c r="B19" s="22"/>
      <c r="C19" s="22"/>
      <c r="D19" s="22"/>
      <c r="E19" s="22"/>
      <c r="F19" s="22"/>
      <c r="G19" s="22"/>
      <c r="H19" s="22"/>
      <c r="I19" s="22"/>
      <c r="J19" s="22"/>
      <c r="K19" s="26"/>
      <c r="M19" s="50"/>
      <c r="N19" s="50" t="s">
        <v>188</v>
      </c>
      <c r="O19" s="50"/>
      <c r="R19" s="50"/>
      <c r="S19" s="50"/>
      <c r="T19" s="50"/>
    </row>
    <row r="20" spans="1:20" ht="15" customHeight="1">
      <c r="A20" s="29" t="s">
        <v>5</v>
      </c>
      <c r="B20" s="22" t="s">
        <v>187</v>
      </c>
      <c r="C20" s="22"/>
      <c r="D20" s="22"/>
      <c r="E20" s="22"/>
      <c r="F20" s="22"/>
      <c r="G20" s="22"/>
      <c r="H20" s="22"/>
      <c r="I20" s="22"/>
      <c r="J20" s="22"/>
      <c r="K20" s="26"/>
      <c r="M20" s="50"/>
      <c r="N20" s="50" t="s">
        <v>243</v>
      </c>
      <c r="O20" s="50"/>
      <c r="R20" s="50"/>
      <c r="S20" s="50"/>
      <c r="T20" s="50"/>
    </row>
    <row r="21" spans="1:20" ht="15" customHeight="1" thickBot="1">
      <c r="A21" s="9">
        <f>INDEX('Point Grid'!$C$8:$I$35,MATCH($A$1,'Point Grid'!$A$8:$A$35,0),MATCH(A20,'Point Grid'!$C$7:$I$7,0))</f>
        <v>0.5</v>
      </c>
      <c r="B21" s="22"/>
      <c r="C21" s="22"/>
      <c r="D21" s="22"/>
      <c r="E21" s="22"/>
      <c r="F21" s="22"/>
      <c r="G21" s="22"/>
      <c r="H21" s="22"/>
      <c r="I21" s="22"/>
      <c r="J21" s="22"/>
      <c r="K21" s="26"/>
      <c r="M21" s="50"/>
      <c r="N21" s="50"/>
      <c r="O21" s="50" t="s">
        <v>189</v>
      </c>
      <c r="R21" s="50"/>
      <c r="S21" s="50"/>
      <c r="T21" s="50"/>
    </row>
    <row r="22" spans="1:20" ht="15" customHeight="1" thickBot="1">
      <c r="A22" s="5"/>
      <c r="B22" s="22"/>
      <c r="C22" s="22"/>
      <c r="D22" s="22"/>
      <c r="E22" s="22"/>
      <c r="F22" s="22"/>
      <c r="G22" s="22"/>
      <c r="H22" s="22"/>
      <c r="I22" s="22"/>
      <c r="J22" s="22"/>
      <c r="K22" s="26"/>
      <c r="M22" s="50"/>
      <c r="N22" s="50"/>
      <c r="O22" s="50" t="s">
        <v>190</v>
      </c>
      <c r="R22" s="50"/>
      <c r="S22" s="50"/>
      <c r="T22" s="50"/>
    </row>
    <row r="23" spans="1:20" ht="15" customHeight="1">
      <c r="A23" s="25"/>
      <c r="B23" s="22"/>
      <c r="C23" s="22"/>
      <c r="D23" s="22"/>
      <c r="E23" s="22"/>
      <c r="F23" s="22"/>
      <c r="G23" s="22"/>
      <c r="H23" s="22"/>
      <c r="I23" s="22"/>
      <c r="J23" s="22"/>
      <c r="K23" s="26"/>
      <c r="M23" s="50"/>
      <c r="N23" s="50"/>
      <c r="O23" s="50" t="s">
        <v>191</v>
      </c>
      <c r="R23" s="50"/>
      <c r="S23" s="50"/>
      <c r="T23" s="50"/>
    </row>
    <row r="24" spans="1:20" ht="15" customHeight="1" thickBo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8"/>
      <c r="M24" s="50"/>
      <c r="N24" s="50"/>
      <c r="O24" s="50" t="s">
        <v>192</v>
      </c>
      <c r="R24" s="50"/>
      <c r="S24" s="50"/>
      <c r="T24" s="50"/>
    </row>
    <row r="25" spans="1:20" ht="15" customHeight="1">
      <c r="A25"/>
      <c r="B25"/>
      <c r="C25"/>
      <c r="D25"/>
      <c r="E25"/>
      <c r="F25"/>
      <c r="G25"/>
      <c r="H25"/>
      <c r="I25"/>
      <c r="J25"/>
      <c r="K25"/>
      <c r="M25" s="50"/>
      <c r="N25" s="50"/>
      <c r="O25" s="50" t="s">
        <v>193</v>
      </c>
      <c r="R25" s="50"/>
      <c r="S25" s="50"/>
      <c r="T25" s="50"/>
    </row>
    <row r="26" spans="1:20" ht="15" customHeight="1">
      <c r="A26"/>
      <c r="B26"/>
      <c r="C26"/>
      <c r="D26"/>
      <c r="E26"/>
      <c r="F26"/>
      <c r="G26"/>
      <c r="H26"/>
      <c r="I26"/>
      <c r="J26"/>
      <c r="K26"/>
      <c r="M26" s="50"/>
      <c r="N26" s="50"/>
      <c r="O26" s="50"/>
      <c r="R26" s="50"/>
      <c r="S26" s="50"/>
      <c r="T26" s="50"/>
    </row>
    <row r="27" spans="1:20" ht="15" customHeight="1">
      <c r="A27"/>
      <c r="B27"/>
      <c r="C27"/>
      <c r="D27"/>
      <c r="E27"/>
      <c r="F27"/>
      <c r="G27"/>
      <c r="H27"/>
      <c r="I27"/>
      <c r="J27"/>
      <c r="K27"/>
      <c r="M27" s="50"/>
      <c r="N27" s="50" t="s">
        <v>194</v>
      </c>
      <c r="O27" s="50"/>
      <c r="R27" s="50"/>
      <c r="S27" s="50"/>
      <c r="T27" s="50"/>
    </row>
    <row r="28" spans="1:20" ht="15" customHeight="1">
      <c r="A28"/>
      <c r="B28"/>
      <c r="C28"/>
      <c r="D28"/>
      <c r="E28"/>
      <c r="F28"/>
      <c r="G28"/>
      <c r="H28"/>
      <c r="I28"/>
      <c r="J28"/>
      <c r="K28"/>
      <c r="M28" s="50"/>
      <c r="N28" s="50" t="s">
        <v>195</v>
      </c>
      <c r="O28" s="50"/>
      <c r="R28" s="50"/>
      <c r="S28" s="50"/>
      <c r="T28" s="50"/>
    </row>
    <row r="29" spans="1:20" ht="15" customHeight="1">
      <c r="A29"/>
      <c r="B29"/>
      <c r="C29"/>
      <c r="D29"/>
      <c r="E29"/>
      <c r="F29"/>
      <c r="G29"/>
      <c r="H29"/>
      <c r="I29"/>
      <c r="J29"/>
      <c r="K29"/>
      <c r="M29" s="50"/>
      <c r="N29" s="50"/>
      <c r="O29" s="50"/>
      <c r="R29" s="50"/>
      <c r="S29" s="50"/>
      <c r="T29" s="50"/>
    </row>
    <row r="30" spans="1:20" ht="15" customHeight="1">
      <c r="A30"/>
      <c r="B30"/>
      <c r="C30"/>
      <c r="D30"/>
      <c r="E30"/>
      <c r="F30"/>
      <c r="G30"/>
      <c r="H30"/>
      <c r="I30"/>
      <c r="J30"/>
      <c r="K30"/>
      <c r="M30" s="50" t="s">
        <v>5</v>
      </c>
      <c r="N30" s="50" t="s">
        <v>197</v>
      </c>
      <c r="O30" s="50"/>
      <c r="R30" s="50"/>
      <c r="S30" s="50"/>
      <c r="T30" s="50"/>
    </row>
    <row r="31" spans="1:20" ht="15" customHeight="1">
      <c r="A31"/>
      <c r="B31"/>
      <c r="C31"/>
      <c r="D31"/>
      <c r="E31"/>
      <c r="F31"/>
      <c r="G31"/>
      <c r="H31"/>
      <c r="I31"/>
      <c r="J31"/>
      <c r="K31"/>
      <c r="M31" s="50"/>
      <c r="N31" s="50" t="s">
        <v>198</v>
      </c>
      <c r="O31" s="50"/>
      <c r="R31" s="50"/>
      <c r="S31" s="50"/>
      <c r="T31" s="50"/>
    </row>
    <row r="32" spans="1:20" ht="15" customHeight="1">
      <c r="A32"/>
      <c r="B32"/>
      <c r="C32"/>
      <c r="D32"/>
      <c r="E32"/>
      <c r="F32"/>
      <c r="G32"/>
      <c r="H32"/>
      <c r="I32"/>
      <c r="J32"/>
      <c r="K32"/>
      <c r="M32" s="50"/>
      <c r="N32" s="50" t="s">
        <v>199</v>
      </c>
      <c r="O32" s="50"/>
      <c r="R32" s="50"/>
      <c r="S32" s="50"/>
      <c r="T32" s="50"/>
    </row>
    <row r="33" spans="1:20" ht="15" customHeight="1">
      <c r="A33"/>
      <c r="B33"/>
      <c r="C33"/>
      <c r="D33"/>
      <c r="E33"/>
      <c r="F33"/>
      <c r="G33"/>
      <c r="H33"/>
      <c r="I33"/>
      <c r="J33"/>
      <c r="K33"/>
      <c r="M33" s="50"/>
      <c r="N33" s="50"/>
      <c r="O33" s="50"/>
      <c r="P33" s="50"/>
      <c r="Q33" s="50"/>
      <c r="R33" s="50"/>
      <c r="S33" s="50"/>
      <c r="T33" s="50"/>
    </row>
    <row r="34" spans="1:20" ht="15" customHeight="1">
      <c r="M34" s="50"/>
      <c r="N34" s="50"/>
      <c r="O34" s="50"/>
      <c r="P34" s="50"/>
      <c r="Q34" s="50"/>
      <c r="R34" s="50"/>
      <c r="S34" s="50"/>
      <c r="T34" s="50"/>
    </row>
    <row r="35" spans="1:20" ht="15" customHeight="1">
      <c r="L35" s="34"/>
      <c r="M35" s="50"/>
      <c r="N35" s="50"/>
      <c r="O35" s="50"/>
      <c r="P35" s="50"/>
      <c r="Q35" s="50"/>
      <c r="R35" s="50"/>
      <c r="S35" s="50"/>
      <c r="T35" s="50"/>
    </row>
    <row r="36" spans="1:20" ht="15" customHeight="1">
      <c r="L36" s="34"/>
      <c r="M36" s="50"/>
      <c r="N36" s="50"/>
      <c r="O36" s="50"/>
      <c r="P36" s="50"/>
      <c r="Q36" s="50"/>
      <c r="R36" s="50"/>
      <c r="S36" s="50"/>
      <c r="T36" s="50"/>
    </row>
    <row r="37" spans="1:20" ht="15" customHeight="1">
      <c r="L37" s="34"/>
      <c r="M37" s="50"/>
      <c r="N37" s="50"/>
      <c r="O37" s="50"/>
      <c r="P37" s="50"/>
      <c r="Q37" s="50"/>
      <c r="R37" s="50"/>
      <c r="S37" s="50"/>
      <c r="T37" s="50"/>
    </row>
    <row r="38" spans="1:20" ht="15" customHeight="1">
      <c r="L38" s="34"/>
      <c r="M38" s="50"/>
      <c r="N38" s="50"/>
      <c r="O38" s="50"/>
      <c r="P38" s="50"/>
      <c r="Q38" s="50"/>
      <c r="R38" s="50"/>
      <c r="S38" s="50"/>
      <c r="T38" s="50"/>
    </row>
    <row r="39" spans="1:20" ht="15" customHeight="1">
      <c r="L39" s="34"/>
      <c r="M39" s="50"/>
      <c r="N39" s="50"/>
      <c r="O39" s="50"/>
      <c r="P39" s="50"/>
      <c r="Q39" s="50"/>
      <c r="R39" s="50"/>
      <c r="S39" s="50"/>
      <c r="T39" s="50"/>
    </row>
    <row r="40" spans="1:20" ht="15" customHeight="1">
      <c r="M40" s="50"/>
      <c r="N40" s="50"/>
      <c r="O40" s="50"/>
      <c r="P40" s="50"/>
      <c r="Q40" s="50"/>
      <c r="R40" s="50"/>
      <c r="S40" s="50"/>
      <c r="T40" s="50"/>
    </row>
    <row r="41" spans="1:20" ht="15" customHeight="1">
      <c r="M41" s="50"/>
      <c r="N41" s="50"/>
      <c r="O41" s="50"/>
      <c r="P41" s="50"/>
      <c r="Q41" s="50"/>
      <c r="R41" s="50"/>
      <c r="S41" s="50"/>
      <c r="T41" s="50"/>
    </row>
    <row r="42" spans="1:20" ht="15" customHeight="1">
      <c r="M42" s="50"/>
      <c r="N42" s="50"/>
      <c r="O42" s="50"/>
      <c r="P42" s="50"/>
      <c r="Q42" s="50"/>
      <c r="R42" s="50"/>
      <c r="S42" s="50"/>
      <c r="T42" s="50"/>
    </row>
    <row r="43" spans="1:20" ht="15" customHeight="1">
      <c r="M43" s="50"/>
      <c r="N43" s="50"/>
      <c r="O43" s="50"/>
      <c r="P43" s="50"/>
      <c r="Q43" s="50"/>
      <c r="R43" s="50"/>
      <c r="S43" s="50"/>
      <c r="T43" s="50"/>
    </row>
    <row r="44" spans="1:20" ht="15" customHeight="1">
      <c r="M44" s="50"/>
      <c r="N44" s="50"/>
      <c r="O44" s="50"/>
      <c r="P44" s="50"/>
      <c r="Q44" s="50"/>
      <c r="R44" s="50"/>
      <c r="S44" s="50"/>
      <c r="T44" s="50"/>
    </row>
    <row r="45" spans="1:20" ht="15" customHeight="1">
      <c r="M45" s="50"/>
      <c r="N45" s="50"/>
      <c r="O45" s="50"/>
      <c r="P45" s="50"/>
      <c r="Q45" s="50"/>
      <c r="R45" s="50"/>
      <c r="S45" s="50"/>
      <c r="T45" s="50"/>
    </row>
    <row r="46" spans="1:20" ht="15" customHeight="1">
      <c r="M46" s="50"/>
      <c r="N46" s="50"/>
      <c r="O46" s="50"/>
      <c r="P46" s="50"/>
      <c r="Q46" s="50"/>
      <c r="R46" s="50"/>
      <c r="S46" s="50"/>
      <c r="T46" s="50"/>
    </row>
    <row r="47" spans="1:20" ht="15" customHeight="1">
      <c r="M47" s="50"/>
      <c r="N47" s="50"/>
      <c r="O47" s="50"/>
      <c r="P47" s="50"/>
      <c r="Q47" s="50"/>
      <c r="R47" s="50"/>
      <c r="S47" s="50"/>
      <c r="T47" s="50"/>
    </row>
    <row r="48" spans="1:20" ht="15" customHeight="1">
      <c r="M48" s="50"/>
      <c r="N48" s="50"/>
      <c r="O48" s="50"/>
      <c r="P48" s="50"/>
      <c r="Q48" s="50"/>
      <c r="R48" s="50"/>
      <c r="S48" s="50"/>
      <c r="T48" s="50"/>
    </row>
    <row r="49" spans="13:20" ht="15" customHeight="1">
      <c r="M49" s="50"/>
      <c r="N49" s="50"/>
      <c r="O49" s="50"/>
      <c r="P49" s="50"/>
      <c r="Q49" s="50"/>
      <c r="R49" s="50"/>
      <c r="S49" s="50"/>
      <c r="T49" s="50"/>
    </row>
    <row r="50" spans="13:20" ht="15" customHeight="1">
      <c r="M50" s="50"/>
      <c r="N50" s="50"/>
      <c r="O50" s="50"/>
      <c r="P50" s="50"/>
      <c r="Q50" s="50"/>
      <c r="R50" s="50"/>
      <c r="S50" s="50"/>
      <c r="T50" s="50"/>
    </row>
    <row r="51" spans="13:20" ht="15" customHeight="1">
      <c r="M51" s="50"/>
      <c r="N51" s="50"/>
      <c r="O51" s="50"/>
      <c r="P51" s="50"/>
      <c r="Q51" s="50"/>
      <c r="R51" s="50"/>
      <c r="S51" s="50"/>
      <c r="T51" s="50"/>
    </row>
    <row r="52" spans="13:20" ht="15" customHeight="1">
      <c r="M52" s="50"/>
      <c r="N52" s="50"/>
      <c r="O52" s="50"/>
      <c r="P52" s="50"/>
      <c r="Q52" s="50"/>
      <c r="R52" s="50"/>
      <c r="S52" s="50"/>
      <c r="T52" s="50"/>
    </row>
    <row r="53" spans="13:20" ht="15" customHeight="1">
      <c r="M53" s="50"/>
      <c r="N53" s="50"/>
      <c r="O53" s="50"/>
      <c r="P53" s="50"/>
      <c r="Q53" s="50"/>
      <c r="R53" s="50"/>
      <c r="S53" s="50"/>
      <c r="T53" s="50"/>
    </row>
    <row r="54" spans="13:20" ht="15" customHeight="1">
      <c r="M54" s="50"/>
      <c r="N54" s="50"/>
      <c r="O54" s="50"/>
      <c r="P54" s="50"/>
      <c r="Q54" s="50"/>
      <c r="R54" s="50"/>
      <c r="S54" s="50"/>
      <c r="T54" s="50"/>
    </row>
    <row r="55" spans="13:20" ht="15" customHeight="1">
      <c r="M55" s="50"/>
      <c r="N55" s="50"/>
      <c r="O55" s="50"/>
      <c r="P55" s="50"/>
      <c r="Q55" s="50"/>
      <c r="R55" s="50"/>
      <c r="S55" s="50"/>
      <c r="T55" s="50"/>
    </row>
    <row r="56" spans="13:20" ht="15" customHeight="1">
      <c r="M56" s="50"/>
      <c r="N56" s="50"/>
      <c r="O56" s="50"/>
      <c r="P56" s="50"/>
      <c r="Q56" s="50"/>
      <c r="R56" s="50"/>
      <c r="S56" s="50"/>
      <c r="T56" s="50"/>
    </row>
    <row r="57" spans="13:20" ht="15" customHeight="1">
      <c r="M57" s="50"/>
      <c r="N57" s="50"/>
      <c r="O57" s="50"/>
      <c r="P57" s="50"/>
      <c r="Q57" s="50"/>
      <c r="R57" s="50"/>
      <c r="S57" s="50"/>
      <c r="T57" s="50"/>
    </row>
    <row r="58" spans="13:20" ht="15" customHeight="1">
      <c r="M58" s="50"/>
      <c r="N58" s="50"/>
      <c r="O58" s="50"/>
      <c r="P58" s="50"/>
      <c r="Q58" s="50"/>
      <c r="R58" s="50"/>
      <c r="S58" s="50"/>
      <c r="T58" s="50"/>
    </row>
    <row r="59" spans="13:20" ht="15" customHeight="1">
      <c r="M59" s="50"/>
      <c r="N59" s="50"/>
      <c r="O59" s="50"/>
      <c r="P59" s="50"/>
      <c r="Q59" s="50"/>
      <c r="R59" s="50"/>
      <c r="S59" s="50"/>
      <c r="T59" s="50"/>
    </row>
    <row r="60" spans="13:20" ht="15" customHeight="1">
      <c r="M60" s="50"/>
      <c r="N60" s="50"/>
      <c r="O60" s="50"/>
      <c r="P60" s="50"/>
      <c r="Q60" s="50"/>
      <c r="R60" s="50"/>
      <c r="S60" s="50"/>
      <c r="T60" s="50"/>
    </row>
    <row r="61" spans="13:20" ht="15" customHeight="1">
      <c r="M61" s="50"/>
      <c r="N61" s="50"/>
      <c r="O61" s="50"/>
      <c r="P61" s="50"/>
      <c r="Q61" s="50"/>
      <c r="R61" s="50"/>
      <c r="S61" s="50"/>
      <c r="T61" s="50"/>
    </row>
    <row r="62" spans="13:20">
      <c r="M62" s="50"/>
      <c r="N62" s="50"/>
      <c r="O62" s="50"/>
      <c r="P62" s="50"/>
      <c r="Q62" s="50"/>
      <c r="R62" s="50"/>
      <c r="S62" s="50"/>
      <c r="T62" s="50"/>
    </row>
    <row r="63" spans="13:20">
      <c r="M63" s="50"/>
      <c r="N63" s="50"/>
      <c r="O63" s="50"/>
      <c r="P63" s="50"/>
      <c r="Q63" s="50"/>
      <c r="R63" s="50"/>
      <c r="S63" s="50"/>
      <c r="T63" s="50"/>
    </row>
    <row r="64" spans="13:20">
      <c r="M64" s="50"/>
      <c r="N64" s="50"/>
      <c r="O64" s="50"/>
      <c r="P64" s="50"/>
      <c r="Q64" s="50"/>
      <c r="R64" s="50"/>
      <c r="S64" s="50"/>
      <c r="T64" s="50"/>
    </row>
    <row r="65" spans="13:20">
      <c r="M65" s="50"/>
      <c r="N65" s="50"/>
      <c r="O65" s="50"/>
      <c r="P65" s="50"/>
      <c r="Q65" s="50"/>
      <c r="R65" s="50"/>
      <c r="S65" s="50"/>
      <c r="T65" s="50"/>
    </row>
    <row r="66" spans="13:20">
      <c r="M66" s="50"/>
      <c r="N66" s="50"/>
      <c r="O66" s="50"/>
      <c r="P66" s="50"/>
      <c r="Q66" s="50"/>
      <c r="R66" s="50"/>
      <c r="S66" s="50"/>
      <c r="T66" s="50"/>
    </row>
    <row r="67" spans="13:20">
      <c r="M67" s="50"/>
      <c r="N67" s="50"/>
      <c r="O67" s="50"/>
      <c r="P67" s="50"/>
      <c r="Q67" s="50"/>
      <c r="R67" s="50"/>
      <c r="S67" s="50"/>
      <c r="T67" s="50"/>
    </row>
    <row r="68" spans="13:20">
      <c r="M68" s="50"/>
      <c r="N68" s="50"/>
      <c r="O68" s="50"/>
      <c r="P68" s="50"/>
      <c r="Q68" s="50"/>
      <c r="R68" s="50"/>
      <c r="S68" s="50"/>
      <c r="T68" s="50"/>
    </row>
    <row r="69" spans="13:20">
      <c r="M69" s="50"/>
      <c r="N69" s="50"/>
      <c r="O69" s="50"/>
      <c r="P69" s="50"/>
      <c r="Q69" s="50"/>
      <c r="R69" s="50"/>
      <c r="S69" s="50"/>
      <c r="T69" s="50"/>
    </row>
    <row r="70" spans="13:20">
      <c r="M70" s="50"/>
      <c r="N70" s="50"/>
      <c r="O70" s="50"/>
      <c r="P70" s="50"/>
      <c r="Q70" s="50"/>
      <c r="R70" s="50"/>
      <c r="S70" s="50"/>
      <c r="T70" s="50"/>
    </row>
    <row r="71" spans="13:20">
      <c r="M71" s="50"/>
      <c r="N71" s="50"/>
      <c r="O71" s="50"/>
      <c r="P71" s="50"/>
      <c r="Q71" s="50"/>
      <c r="R71" s="50"/>
      <c r="S71" s="50"/>
      <c r="T71" s="50"/>
    </row>
    <row r="72" spans="13:20">
      <c r="M72" s="50"/>
      <c r="N72" s="50"/>
      <c r="O72" s="50"/>
      <c r="P72" s="50"/>
      <c r="Q72" s="50"/>
      <c r="R72" s="50"/>
      <c r="S72" s="50"/>
      <c r="T72" s="50"/>
    </row>
    <row r="73" spans="13:20">
      <c r="M73" s="50"/>
      <c r="N73" s="50"/>
      <c r="O73" s="50"/>
      <c r="P73" s="50"/>
      <c r="Q73" s="50"/>
      <c r="R73" s="50"/>
      <c r="S73" s="50"/>
      <c r="T73" s="50"/>
    </row>
    <row r="74" spans="13:20">
      <c r="M74" s="50"/>
      <c r="N74" s="50"/>
      <c r="O74" s="50"/>
      <c r="P74" s="50"/>
      <c r="Q74" s="50"/>
      <c r="R74" s="50"/>
      <c r="S74" s="50"/>
      <c r="T74" s="50"/>
    </row>
    <row r="75" spans="13:20">
      <c r="M75" s="50"/>
      <c r="N75" s="50"/>
      <c r="O75" s="50"/>
      <c r="P75" s="50"/>
      <c r="Q75" s="50"/>
      <c r="R75" s="50"/>
      <c r="S75" s="50"/>
      <c r="T75" s="50"/>
    </row>
    <row r="76" spans="13:20">
      <c r="M76" s="50"/>
      <c r="N76" s="50"/>
      <c r="O76" s="50"/>
      <c r="P76" s="50"/>
      <c r="Q76" s="50"/>
      <c r="R76" s="50"/>
      <c r="S76" s="50"/>
      <c r="T76" s="50"/>
    </row>
    <row r="77" spans="13:20">
      <c r="M77" s="50"/>
      <c r="N77" s="50"/>
      <c r="O77" s="50"/>
      <c r="P77" s="50"/>
      <c r="Q77" s="50"/>
      <c r="R77" s="50"/>
      <c r="S77" s="50"/>
      <c r="T77" s="50"/>
    </row>
    <row r="78" spans="13:20">
      <c r="M78" s="50"/>
      <c r="N78" s="50"/>
      <c r="O78" s="50"/>
      <c r="P78" s="50"/>
      <c r="Q78" s="50"/>
      <c r="R78" s="50"/>
      <c r="S78" s="50"/>
      <c r="T78" s="50"/>
    </row>
    <row r="79" spans="13:20">
      <c r="M79" s="50"/>
      <c r="N79" s="50"/>
      <c r="O79" s="50"/>
      <c r="P79" s="50"/>
      <c r="Q79" s="50"/>
      <c r="R79" s="50"/>
      <c r="S79" s="50"/>
      <c r="T79" s="50"/>
    </row>
    <row r="80" spans="13:20">
      <c r="M80" s="50"/>
      <c r="N80" s="50"/>
      <c r="O80" s="50"/>
      <c r="P80" s="50"/>
      <c r="Q80" s="50"/>
      <c r="R80" s="50"/>
      <c r="S80" s="50"/>
      <c r="T80" s="50"/>
    </row>
    <row r="81" spans="13:20">
      <c r="M81" s="50"/>
      <c r="N81" s="50"/>
      <c r="O81" s="50"/>
      <c r="P81" s="50"/>
      <c r="Q81" s="50"/>
      <c r="R81" s="50"/>
      <c r="S81" s="50"/>
      <c r="T81" s="50"/>
    </row>
    <row r="82" spans="13:20">
      <c r="M82" s="50"/>
      <c r="N82" s="50"/>
      <c r="O82" s="50"/>
      <c r="P82" s="50"/>
      <c r="Q82" s="50"/>
      <c r="R82" s="50"/>
      <c r="S82" s="50"/>
      <c r="T82" s="50"/>
    </row>
    <row r="83" spans="13:20">
      <c r="M83" s="50"/>
      <c r="N83" s="50"/>
      <c r="O83" s="50"/>
      <c r="P83" s="50"/>
      <c r="Q83" s="50"/>
      <c r="R83" s="50"/>
      <c r="S83" s="50"/>
      <c r="T83" s="50"/>
    </row>
    <row r="84" spans="13:20">
      <c r="M84" s="50"/>
      <c r="N84" s="50"/>
      <c r="O84" s="50"/>
      <c r="P84" s="50"/>
      <c r="Q84" s="50"/>
      <c r="R84" s="50"/>
      <c r="S84" s="50"/>
      <c r="T84" s="50"/>
    </row>
    <row r="85" spans="13:20">
      <c r="M85" s="50"/>
      <c r="N85" s="50"/>
      <c r="O85" s="50"/>
      <c r="P85" s="50"/>
      <c r="Q85" s="50"/>
      <c r="R85" s="50"/>
      <c r="S85" s="50"/>
      <c r="T85" s="50"/>
    </row>
    <row r="86" spans="13:20">
      <c r="M86" s="50"/>
      <c r="N86" s="50"/>
      <c r="O86" s="50"/>
      <c r="P86" s="50"/>
      <c r="Q86" s="50"/>
      <c r="R86" s="50"/>
      <c r="S86" s="50"/>
      <c r="T86" s="50"/>
    </row>
    <row r="87" spans="13:20">
      <c r="M87" s="50"/>
      <c r="N87" s="50"/>
      <c r="O87" s="50"/>
      <c r="P87" s="50"/>
      <c r="Q87" s="50"/>
      <c r="R87" s="50"/>
      <c r="S87" s="50"/>
      <c r="T87" s="50"/>
    </row>
    <row r="88" spans="13:20">
      <c r="M88" s="50"/>
      <c r="N88" s="50"/>
      <c r="O88" s="50"/>
      <c r="P88" s="50"/>
      <c r="Q88" s="50"/>
      <c r="R88" s="50"/>
      <c r="S88" s="50"/>
      <c r="T88" s="50"/>
    </row>
    <row r="89" spans="13:20">
      <c r="M89" s="50"/>
      <c r="N89" s="50"/>
      <c r="O89" s="50"/>
      <c r="P89" s="50"/>
      <c r="Q89" s="50"/>
      <c r="R89" s="50"/>
      <c r="S89" s="50"/>
      <c r="T89" s="50"/>
    </row>
    <row r="90" spans="13:20">
      <c r="M90" s="50"/>
      <c r="N90" s="50"/>
      <c r="O90" s="50"/>
      <c r="P90" s="50"/>
      <c r="Q90" s="50"/>
      <c r="R90" s="50"/>
      <c r="S90" s="50"/>
      <c r="T90" s="50"/>
    </row>
    <row r="91" spans="13:20">
      <c r="M91" s="50"/>
      <c r="N91" s="50"/>
      <c r="O91" s="50"/>
      <c r="P91" s="50"/>
      <c r="Q91" s="50"/>
      <c r="R91" s="50"/>
      <c r="S91" s="50"/>
      <c r="T91" s="50"/>
    </row>
    <row r="92" spans="13:20">
      <c r="M92" s="50"/>
      <c r="N92" s="50"/>
      <c r="O92" s="50"/>
      <c r="P92" s="50"/>
      <c r="Q92" s="50"/>
      <c r="R92" s="50"/>
      <c r="S92" s="50"/>
      <c r="T92" s="50"/>
    </row>
    <row r="93" spans="13:20">
      <c r="M93" s="50"/>
      <c r="N93" s="50"/>
      <c r="O93" s="50"/>
      <c r="P93" s="50"/>
      <c r="Q93" s="50"/>
      <c r="R93" s="50"/>
      <c r="S93" s="50"/>
      <c r="T93" s="50"/>
    </row>
    <row r="94" spans="13:20">
      <c r="M94" s="50"/>
      <c r="N94" s="50"/>
      <c r="O94" s="50"/>
      <c r="P94" s="50"/>
      <c r="Q94" s="50"/>
      <c r="R94" s="50"/>
      <c r="S94" s="50"/>
      <c r="T94" s="50"/>
    </row>
  </sheetData>
  <mergeCells count="1">
    <mergeCell ref="J1:K1"/>
  </mergeCells>
  <conditionalFormatting sqref="B1">
    <cfRule type="cellIs" dxfId="14" priority="1" operator="equal">
      <formula>"Incomplete"</formula>
    </cfRule>
    <cfRule type="cellIs" dxfId="13" priority="2" operator="equal">
      <formula>"Flag for Review"</formula>
    </cfRule>
    <cfRule type="cellIs" dxfId="12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J1" location="'Point Grid'!A8" display="Return to Point Grid"/>
    <hyperlink ref="J1:K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V118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2">
      <c r="A1" s="7">
        <v>24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  <c r="L1" s="50"/>
      <c r="M1" s="50"/>
      <c r="N1" s="50"/>
      <c r="O1" s="50"/>
      <c r="P1" s="50"/>
      <c r="Q1" s="50"/>
      <c r="R1" s="50"/>
      <c r="S1" s="50"/>
    </row>
    <row r="2" spans="1:22">
      <c r="A2" s="25"/>
      <c r="B2" s="22"/>
      <c r="C2" s="22"/>
      <c r="D2" s="22"/>
      <c r="E2" s="22"/>
      <c r="F2" s="22"/>
      <c r="G2" s="22"/>
      <c r="H2" s="22"/>
      <c r="I2" s="26"/>
      <c r="K2" s="50"/>
      <c r="L2" s="50"/>
      <c r="M2" s="50"/>
      <c r="N2" s="50"/>
      <c r="O2" s="50"/>
      <c r="P2" s="50"/>
      <c r="Q2" s="50"/>
      <c r="R2" s="50"/>
      <c r="S2" s="50"/>
    </row>
    <row r="3" spans="1:22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s="50"/>
      <c r="L3" s="50"/>
      <c r="M3" s="50"/>
      <c r="N3" s="50"/>
      <c r="O3" s="50"/>
      <c r="P3" s="50"/>
      <c r="Q3" s="50"/>
      <c r="R3" s="50"/>
      <c r="S3" s="50"/>
    </row>
    <row r="4" spans="1:22" ht="15" customHeight="1">
      <c r="A4" s="9">
        <f>INDEX('Point Grid'!B:B,MATCH($A$1,'Point Grid'!A:A,0))</f>
        <v>2.5</v>
      </c>
      <c r="B4" s="22"/>
      <c r="C4" s="22"/>
      <c r="D4" s="22"/>
      <c r="E4" s="22"/>
      <c r="F4" s="22"/>
      <c r="G4" s="22"/>
      <c r="H4" s="22"/>
      <c r="I4" s="26"/>
      <c r="K4" s="182" t="s">
        <v>2</v>
      </c>
      <c r="L4" s="24" t="s">
        <v>851</v>
      </c>
      <c r="M4" s="50"/>
      <c r="N4" s="50"/>
      <c r="O4" s="50"/>
      <c r="P4" s="50"/>
      <c r="Q4" s="50"/>
      <c r="R4" s="50"/>
      <c r="S4" s="50"/>
    </row>
    <row r="5" spans="1:22" ht="15" customHeight="1">
      <c r="A5" s="25"/>
      <c r="B5" s="22"/>
      <c r="C5" s="22"/>
      <c r="D5" s="22"/>
      <c r="E5" s="22"/>
      <c r="F5" s="22"/>
      <c r="G5" s="22"/>
      <c r="H5" s="22"/>
      <c r="I5" s="26"/>
      <c r="K5" s="182"/>
      <c r="L5" s="24" t="s">
        <v>855</v>
      </c>
      <c r="M5" s="50"/>
      <c r="N5" s="50"/>
      <c r="O5" s="50"/>
      <c r="P5" s="50"/>
      <c r="Q5" s="50"/>
      <c r="R5" s="50"/>
      <c r="S5" s="50"/>
    </row>
    <row r="6" spans="1:22" ht="15" customHeight="1">
      <c r="A6" s="29" t="s">
        <v>2</v>
      </c>
      <c r="B6" s="22" t="s">
        <v>837</v>
      </c>
      <c r="C6" s="22"/>
      <c r="D6" s="22"/>
      <c r="E6" s="22"/>
      <c r="F6" s="22"/>
      <c r="G6" s="22"/>
      <c r="H6" s="22"/>
      <c r="I6" s="26"/>
      <c r="K6" s="182"/>
      <c r="L6" s="24" t="s">
        <v>852</v>
      </c>
      <c r="M6" s="50"/>
      <c r="N6" s="50"/>
      <c r="O6" s="50"/>
      <c r="P6" s="50"/>
      <c r="Q6" s="50"/>
      <c r="R6" s="50"/>
      <c r="S6" s="50"/>
    </row>
    <row r="7" spans="1:22" ht="15" customHeight="1" thickBot="1">
      <c r="A7" s="9">
        <f>INDEX('Point Grid'!$C$8:$I$35,MATCH($A$1,'Point Grid'!$A$8:$A$35,0),MATCH(A6,'Point Grid'!$C$7:$I$7,0))</f>
        <v>0.5</v>
      </c>
      <c r="B7" s="22"/>
      <c r="C7" s="22"/>
      <c r="D7" s="22"/>
      <c r="E7" s="22"/>
      <c r="F7" s="22"/>
      <c r="G7" s="22"/>
      <c r="H7" s="22"/>
      <c r="I7" s="26"/>
      <c r="K7" s="182"/>
      <c r="L7" s="24" t="s">
        <v>853</v>
      </c>
      <c r="M7" s="50"/>
      <c r="N7" s="50"/>
      <c r="O7" s="50"/>
      <c r="P7" s="50"/>
      <c r="Q7" s="50"/>
      <c r="R7" s="50"/>
      <c r="S7" s="50"/>
    </row>
    <row r="8" spans="1:22" ht="15" customHeight="1" thickBot="1">
      <c r="A8" s="5"/>
      <c r="B8" s="22"/>
      <c r="C8" s="22"/>
      <c r="D8" s="22"/>
      <c r="E8" s="22"/>
      <c r="F8" s="22"/>
      <c r="G8" s="22"/>
      <c r="H8" s="22"/>
      <c r="I8" s="26"/>
      <c r="K8" s="182"/>
      <c r="L8" s="24" t="s">
        <v>854</v>
      </c>
      <c r="M8" s="50"/>
    </row>
    <row r="9" spans="1:22" ht="15" customHeight="1">
      <c r="A9" s="31"/>
      <c r="B9" s="22"/>
      <c r="C9" s="22"/>
      <c r="D9" s="22"/>
      <c r="E9" s="22"/>
      <c r="F9" s="22"/>
      <c r="G9" s="22"/>
      <c r="H9" s="22"/>
      <c r="I9" s="26"/>
      <c r="K9" s="182"/>
      <c r="L9" s="50"/>
      <c r="M9" s="50"/>
    </row>
    <row r="10" spans="1:22" ht="15" customHeight="1">
      <c r="A10" s="29" t="s">
        <v>3</v>
      </c>
      <c r="B10" s="229" t="s">
        <v>838</v>
      </c>
      <c r="C10" s="229"/>
      <c r="D10" s="229"/>
      <c r="E10" s="229"/>
      <c r="F10" s="229"/>
      <c r="G10" s="229"/>
      <c r="H10" s="229"/>
      <c r="I10" s="26"/>
      <c r="J10" s="243"/>
      <c r="K10" s="299"/>
      <c r="L10" s="243"/>
      <c r="M10" s="299"/>
    </row>
    <row r="11" spans="1:22" ht="15" customHeight="1" thickBot="1">
      <c r="A11" s="9">
        <f>INDEX('Point Grid'!$C$8:$I$35,MATCH($A$1,'Point Grid'!$A$8:$A$35,0),MATCH(A10,'Point Grid'!$C$7:$I$7,0))</f>
        <v>0.5</v>
      </c>
      <c r="B11" s="229"/>
      <c r="C11" s="229"/>
      <c r="D11" s="229"/>
      <c r="E11" s="229"/>
      <c r="F11" s="229"/>
      <c r="G11" s="229"/>
      <c r="H11" s="229"/>
      <c r="I11" s="26"/>
      <c r="J11" s="243"/>
      <c r="K11" s="299" t="s">
        <v>3</v>
      </c>
      <c r="L11" s="420" t="s">
        <v>849</v>
      </c>
      <c r="M11" s="50" t="s">
        <v>850</v>
      </c>
      <c r="N11" s="50"/>
      <c r="O11" s="50"/>
      <c r="P11" s="50"/>
      <c r="Q11" s="50"/>
    </row>
    <row r="12" spans="1:22" ht="15" customHeight="1" thickBot="1">
      <c r="A12" s="5"/>
      <c r="B12" s="31"/>
      <c r="C12" s="236" t="s">
        <v>840</v>
      </c>
      <c r="D12" s="237"/>
      <c r="E12" s="416"/>
      <c r="F12" s="417">
        <v>1.78E-2</v>
      </c>
      <c r="G12" s="229"/>
      <c r="H12" s="229"/>
      <c r="I12" s="26"/>
      <c r="J12" s="243"/>
      <c r="K12" s="243"/>
      <c r="L12" s="50"/>
      <c r="M12" s="50"/>
      <c r="N12" s="50"/>
      <c r="O12" s="50"/>
      <c r="P12" s="50"/>
      <c r="Q12" s="50"/>
    </row>
    <row r="13" spans="1:22" ht="15" customHeight="1">
      <c r="A13" s="31"/>
      <c r="B13" s="31"/>
      <c r="C13" s="239" t="s">
        <v>841</v>
      </c>
      <c r="D13" s="240"/>
      <c r="E13" s="355"/>
      <c r="F13" s="418">
        <v>1.0999999999999999E-2</v>
      </c>
      <c r="G13" s="229"/>
      <c r="H13" s="229"/>
      <c r="I13" s="26"/>
      <c r="J13" s="243"/>
      <c r="K13" s="243"/>
      <c r="L13" s="243"/>
      <c r="M13" s="299" t="s">
        <v>839</v>
      </c>
      <c r="N13" s="299" t="s">
        <v>521</v>
      </c>
      <c r="O13" s="243" t="str">
        <f>C12</f>
        <v>risk-free rate</v>
      </c>
      <c r="P13" s="243"/>
      <c r="Q13" s="299" t="s">
        <v>524</v>
      </c>
      <c r="R13" s="243" t="str">
        <f>C13</f>
        <v>liquidity premium</v>
      </c>
      <c r="S13" s="243"/>
      <c r="T13" s="243"/>
      <c r="U13" s="243"/>
      <c r="V13" s="243"/>
    </row>
    <row r="14" spans="1:22" ht="15" customHeight="1">
      <c r="A14" s="31"/>
      <c r="B14" s="31"/>
      <c r="C14" s="255" t="s">
        <v>842</v>
      </c>
      <c r="D14" s="256"/>
      <c r="E14" s="343"/>
      <c r="F14" s="419">
        <v>3.3099999999999997E-2</v>
      </c>
      <c r="G14" s="229"/>
      <c r="H14" s="229"/>
      <c r="I14" s="26"/>
      <c r="J14" s="243"/>
      <c r="K14" s="243"/>
      <c r="L14" s="243"/>
      <c r="M14" s="243"/>
      <c r="N14" s="299" t="s">
        <v>521</v>
      </c>
      <c r="O14" s="413">
        <f>F12</f>
        <v>1.78E-2</v>
      </c>
      <c r="P14" s="243"/>
      <c r="Q14" s="299" t="s">
        <v>524</v>
      </c>
      <c r="R14" s="414">
        <f>F13</f>
        <v>1.0999999999999999E-2</v>
      </c>
      <c r="S14" s="243"/>
      <c r="T14" s="243"/>
      <c r="U14" s="243"/>
      <c r="V14" s="243"/>
    </row>
    <row r="15" spans="1:22" ht="15" customHeight="1">
      <c r="A15" s="31"/>
      <c r="B15" s="31"/>
      <c r="C15" s="255" t="s">
        <v>844</v>
      </c>
      <c r="D15" s="256"/>
      <c r="E15" s="343"/>
      <c r="F15" s="419">
        <v>2.3999999999999998E-3</v>
      </c>
      <c r="G15" s="229"/>
      <c r="H15" s="229"/>
      <c r="I15" s="26"/>
      <c r="J15" s="243"/>
      <c r="K15" s="243"/>
      <c r="L15" s="243"/>
      <c r="M15" s="243"/>
      <c r="N15" s="299" t="s">
        <v>521</v>
      </c>
      <c r="O15" s="421">
        <f>O14+R14</f>
        <v>2.8799999999999999E-2</v>
      </c>
      <c r="P15" s="243"/>
      <c r="Q15" s="243"/>
      <c r="R15" s="243"/>
      <c r="S15" s="243"/>
      <c r="T15" s="243"/>
      <c r="U15" s="243"/>
      <c r="V15" s="243"/>
    </row>
    <row r="16" spans="1:22" ht="15" customHeight="1">
      <c r="A16" s="31"/>
      <c r="B16" s="31"/>
      <c r="C16" s="239" t="s">
        <v>845</v>
      </c>
      <c r="D16" s="240"/>
      <c r="E16" s="355"/>
      <c r="F16" s="418">
        <v>1.1999999999999999E-3</v>
      </c>
      <c r="G16" s="229"/>
      <c r="H16" s="229"/>
      <c r="I16" s="26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</row>
    <row r="17" spans="1:22" ht="15" customHeight="1">
      <c r="A17" s="31"/>
      <c r="B17" s="229"/>
      <c r="C17" s="229"/>
      <c r="D17" s="229"/>
      <c r="E17" s="229"/>
      <c r="F17" s="229"/>
      <c r="G17" s="229"/>
      <c r="H17" s="229"/>
      <c r="I17" s="26"/>
      <c r="J17" s="243"/>
      <c r="K17" s="243"/>
      <c r="L17" s="422" t="s">
        <v>789</v>
      </c>
      <c r="M17" s="243" t="s">
        <v>843</v>
      </c>
      <c r="N17" s="243"/>
      <c r="O17" s="243"/>
      <c r="P17" s="243"/>
      <c r="Q17" s="243"/>
      <c r="R17" s="243"/>
      <c r="S17" s="243"/>
      <c r="T17" s="243"/>
      <c r="U17" s="243"/>
      <c r="V17" s="243"/>
    </row>
    <row r="18" spans="1:22" ht="15" customHeight="1">
      <c r="A18" s="29" t="s">
        <v>4</v>
      </c>
      <c r="B18" s="229" t="s">
        <v>856</v>
      </c>
      <c r="C18" s="229"/>
      <c r="D18" s="229"/>
      <c r="E18" s="229"/>
      <c r="F18" s="229"/>
      <c r="G18" s="229"/>
      <c r="H18" s="229"/>
      <c r="I18" s="26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</row>
    <row r="19" spans="1:22" ht="15" customHeight="1" thickBot="1">
      <c r="A19" s="9">
        <f>INDEX('Point Grid'!$C$8:$I$35,MATCH($A$1,'Point Grid'!$A$8:$A$35,0),MATCH(A18,'Point Grid'!$C$7:$I$7,0))</f>
        <v>0.75</v>
      </c>
      <c r="B19" s="22"/>
      <c r="C19" s="22"/>
      <c r="D19" s="22"/>
      <c r="E19" s="22"/>
      <c r="F19" s="22"/>
      <c r="G19" s="22"/>
      <c r="H19" s="22"/>
      <c r="I19" s="26"/>
      <c r="K19" s="50"/>
      <c r="L19" s="243"/>
      <c r="M19" s="299" t="s">
        <v>839</v>
      </c>
      <c r="N19" s="299" t="s">
        <v>521</v>
      </c>
      <c r="O19" s="243" t="s">
        <v>846</v>
      </c>
      <c r="P19" s="243"/>
      <c r="Q19" s="299" t="s">
        <v>529</v>
      </c>
      <c r="R19" s="243" t="s">
        <v>847</v>
      </c>
      <c r="S19" s="243"/>
      <c r="T19" s="299" t="s">
        <v>529</v>
      </c>
      <c r="U19" s="243" t="s">
        <v>848</v>
      </c>
      <c r="V19" s="50"/>
    </row>
    <row r="20" spans="1:22" ht="15" customHeight="1" thickBot="1">
      <c r="A20" s="5"/>
      <c r="B20" s="22"/>
      <c r="C20" s="22"/>
      <c r="D20" s="22"/>
      <c r="E20" s="22"/>
      <c r="F20" s="22"/>
      <c r="G20" s="22"/>
      <c r="H20" s="22"/>
      <c r="I20" s="26"/>
      <c r="K20" s="50"/>
      <c r="L20" s="243"/>
      <c r="M20" s="243"/>
      <c r="N20" s="299" t="s">
        <v>521</v>
      </c>
      <c r="O20" s="413">
        <f>F14</f>
        <v>3.3099999999999997E-2</v>
      </c>
      <c r="P20" s="243"/>
      <c r="Q20" s="299" t="s">
        <v>529</v>
      </c>
      <c r="R20" s="413">
        <f>F15</f>
        <v>2.3999999999999998E-3</v>
      </c>
      <c r="S20" s="243"/>
      <c r="T20" s="299" t="s">
        <v>529</v>
      </c>
      <c r="U20" s="413">
        <f>F16</f>
        <v>1.1999999999999999E-3</v>
      </c>
      <c r="V20" s="50"/>
    </row>
    <row r="21" spans="1:22" ht="15" customHeight="1">
      <c r="A21" s="25"/>
      <c r="B21" s="22"/>
      <c r="C21" s="22"/>
      <c r="D21" s="22"/>
      <c r="E21" s="22"/>
      <c r="F21" s="22"/>
      <c r="G21" s="22"/>
      <c r="H21" s="22"/>
      <c r="I21" s="26"/>
      <c r="K21" s="50"/>
      <c r="L21" s="243"/>
      <c r="M21" s="243"/>
      <c r="N21" s="299" t="s">
        <v>521</v>
      </c>
      <c r="O21" s="423">
        <f>O20-R20-U20</f>
        <v>2.9499999999999998E-2</v>
      </c>
      <c r="P21" s="243"/>
      <c r="Q21" s="243"/>
      <c r="R21" s="243"/>
      <c r="S21" s="243"/>
      <c r="T21" s="243"/>
      <c r="U21" s="243"/>
      <c r="V21" s="243"/>
    </row>
    <row r="22" spans="1:22" ht="15" customHeight="1">
      <c r="A22" s="29" t="s">
        <v>5</v>
      </c>
      <c r="B22" s="22" t="s">
        <v>862</v>
      </c>
      <c r="C22" s="22"/>
      <c r="D22" s="22"/>
      <c r="E22" s="22"/>
      <c r="F22" s="22"/>
      <c r="G22" s="22"/>
      <c r="H22" s="22"/>
      <c r="I22" s="26"/>
      <c r="K22" s="50"/>
      <c r="L22" s="50"/>
      <c r="M22" s="50"/>
      <c r="N22" s="50"/>
      <c r="O22" s="50"/>
      <c r="P22" s="50"/>
      <c r="Q22" s="50"/>
      <c r="R22" s="50"/>
      <c r="S22" s="50"/>
    </row>
    <row r="23" spans="1:22" ht="15" customHeight="1" thickBot="1">
      <c r="A23" s="9">
        <f>INDEX('Point Grid'!$C$8:$I$35,MATCH($A$1,'Point Grid'!$A$8:$A$35,0),MATCH(A22,'Point Grid'!$C$7:$I$7,0))</f>
        <v>0.75</v>
      </c>
      <c r="B23" s="22" t="s">
        <v>861</v>
      </c>
      <c r="C23" s="22"/>
      <c r="D23" s="22"/>
      <c r="E23" s="22"/>
      <c r="F23" s="22"/>
      <c r="G23" s="22"/>
      <c r="H23" s="22"/>
      <c r="I23" s="26"/>
      <c r="K23" s="50"/>
      <c r="L23" s="50"/>
      <c r="M23" s="50"/>
      <c r="N23" s="50"/>
      <c r="O23" s="50"/>
      <c r="P23" s="50"/>
      <c r="Q23" s="50"/>
      <c r="R23" s="50"/>
      <c r="S23" s="50"/>
    </row>
    <row r="24" spans="1:22" ht="15" customHeight="1" thickBot="1">
      <c r="A24" s="5"/>
      <c r="B24" s="22"/>
      <c r="C24" s="22"/>
      <c r="D24" s="22"/>
      <c r="E24" s="22"/>
      <c r="F24" s="22"/>
      <c r="G24" s="22"/>
      <c r="H24" s="22"/>
      <c r="I24" s="26"/>
      <c r="K24" s="182" t="s">
        <v>4</v>
      </c>
      <c r="L24" s="50" t="s">
        <v>857</v>
      </c>
      <c r="M24" s="50"/>
      <c r="N24" s="50"/>
      <c r="O24" s="50"/>
      <c r="P24" s="50"/>
      <c r="Q24" s="50"/>
      <c r="R24" s="50"/>
      <c r="S24" s="50"/>
    </row>
    <row r="25" spans="1:22" ht="15" customHeight="1">
      <c r="A25" s="25"/>
      <c r="B25" s="22"/>
      <c r="C25" s="22"/>
      <c r="D25" s="22"/>
      <c r="E25" s="22"/>
      <c r="F25" s="22"/>
      <c r="G25" s="22"/>
      <c r="H25" s="22"/>
      <c r="I25" s="26"/>
      <c r="K25" s="50"/>
      <c r="L25" s="50" t="s">
        <v>858</v>
      </c>
      <c r="M25" s="50"/>
      <c r="N25" s="50"/>
      <c r="O25" s="50"/>
      <c r="P25" s="50"/>
      <c r="Q25" s="50"/>
      <c r="R25" s="50"/>
      <c r="S25" s="50"/>
    </row>
    <row r="26" spans="1:22" ht="15" customHeight="1" thickBot="1">
      <c r="A26" s="27"/>
      <c r="B26" s="27"/>
      <c r="C26" s="27"/>
      <c r="D26" s="27"/>
      <c r="E26" s="27"/>
      <c r="F26" s="27"/>
      <c r="G26" s="27"/>
      <c r="H26" s="27"/>
      <c r="I26" s="28"/>
      <c r="K26" s="50"/>
      <c r="L26" s="50" t="s">
        <v>859</v>
      </c>
      <c r="M26" s="50"/>
      <c r="N26" s="50"/>
      <c r="O26" s="50"/>
      <c r="P26" s="50"/>
      <c r="Q26" s="50"/>
      <c r="R26" s="50"/>
      <c r="S26" s="50"/>
    </row>
    <row r="27" spans="1:22" ht="15" customHeight="1">
      <c r="K27" s="50"/>
      <c r="L27" s="50"/>
      <c r="M27" s="50"/>
      <c r="N27" s="50"/>
      <c r="O27" s="50"/>
      <c r="P27" s="50"/>
      <c r="Q27" s="50"/>
      <c r="R27" s="50"/>
      <c r="S27" s="50"/>
    </row>
    <row r="28" spans="1:22" ht="15" customHeight="1">
      <c r="K28" s="50"/>
      <c r="L28" s="291" t="s">
        <v>860</v>
      </c>
      <c r="M28" s="50"/>
      <c r="N28" s="50"/>
      <c r="O28" s="50"/>
      <c r="P28" s="50"/>
      <c r="Q28" s="50"/>
      <c r="R28" s="50"/>
      <c r="S28" s="50"/>
    </row>
    <row r="29" spans="1:22" ht="15" customHeight="1">
      <c r="K29" s="50"/>
      <c r="L29" s="50"/>
      <c r="M29" s="50"/>
      <c r="N29" s="50"/>
      <c r="O29" s="50"/>
      <c r="P29" s="50"/>
      <c r="Q29" s="50"/>
      <c r="R29" s="50"/>
      <c r="S29" s="50"/>
    </row>
    <row r="30" spans="1:22" ht="15" customHeight="1">
      <c r="K30" s="50"/>
      <c r="L30" s="50"/>
      <c r="M30" s="50"/>
      <c r="N30" s="50"/>
      <c r="O30" s="50"/>
      <c r="P30" s="50"/>
      <c r="Q30" s="50"/>
      <c r="R30" s="50"/>
      <c r="S30" s="50"/>
    </row>
    <row r="31" spans="1:22" ht="15" customHeight="1">
      <c r="K31" s="182" t="s">
        <v>5</v>
      </c>
      <c r="L31" s="1" t="s">
        <v>864</v>
      </c>
      <c r="M31" s="50"/>
      <c r="N31" s="50"/>
      <c r="O31" s="50"/>
      <c r="P31" s="50"/>
      <c r="Q31" s="50"/>
      <c r="R31" s="50"/>
      <c r="S31" s="50"/>
    </row>
    <row r="32" spans="1:22" ht="15" customHeight="1">
      <c r="K32" s="50"/>
      <c r="L32" s="50" t="s">
        <v>863</v>
      </c>
      <c r="M32" s="50"/>
      <c r="N32" s="50"/>
      <c r="O32" s="50"/>
      <c r="P32" s="50"/>
      <c r="Q32" s="50"/>
      <c r="R32" s="50"/>
      <c r="S32" s="50"/>
    </row>
    <row r="33" spans="11:19" ht="15" customHeight="1">
      <c r="K33" s="50"/>
      <c r="L33" s="50"/>
      <c r="M33" s="50"/>
      <c r="N33" s="50"/>
      <c r="O33" s="50"/>
      <c r="P33" s="50"/>
      <c r="Q33" s="50"/>
      <c r="R33" s="50"/>
      <c r="S33" s="50"/>
    </row>
    <row r="34" spans="11:19" ht="15" customHeight="1">
      <c r="K34" s="50"/>
      <c r="L34" s="1" t="s">
        <v>865</v>
      </c>
      <c r="M34" s="50"/>
      <c r="N34" s="50"/>
      <c r="O34" s="50"/>
      <c r="P34" s="50"/>
      <c r="Q34" s="50"/>
      <c r="R34" s="50"/>
      <c r="S34" s="50"/>
    </row>
    <row r="35" spans="11:19" ht="15" customHeight="1">
      <c r="K35" s="50"/>
      <c r="L35" s="50" t="s">
        <v>866</v>
      </c>
      <c r="M35" s="50"/>
      <c r="N35" s="50"/>
      <c r="O35" s="50"/>
      <c r="P35" s="50"/>
      <c r="Q35" s="50"/>
      <c r="R35" s="50"/>
      <c r="S35" s="50"/>
    </row>
    <row r="36" spans="11:19" ht="15" customHeight="1">
      <c r="K36" s="50"/>
      <c r="L36" s="50"/>
      <c r="M36" s="50"/>
      <c r="N36" s="50"/>
      <c r="O36" s="50"/>
      <c r="P36" s="50"/>
      <c r="Q36" s="50"/>
      <c r="R36" s="50"/>
      <c r="S36" s="50"/>
    </row>
    <row r="37" spans="11:19" ht="15" customHeight="1">
      <c r="K37" s="50"/>
      <c r="L37" s="50"/>
      <c r="M37" s="50"/>
      <c r="N37" s="50"/>
      <c r="O37" s="50"/>
      <c r="P37" s="50"/>
      <c r="Q37" s="50"/>
      <c r="R37" s="50"/>
      <c r="S37" s="50"/>
    </row>
    <row r="38" spans="11:19" ht="15" customHeight="1">
      <c r="K38" s="50"/>
      <c r="L38" s="50"/>
      <c r="M38" s="50"/>
      <c r="N38" s="50"/>
      <c r="O38" s="50"/>
      <c r="P38" s="50"/>
      <c r="Q38" s="50"/>
      <c r="R38" s="50"/>
      <c r="S38" s="50"/>
    </row>
    <row r="39" spans="11:19" ht="15" customHeight="1">
      <c r="K39" s="50"/>
      <c r="L39" s="50"/>
      <c r="M39" s="50"/>
      <c r="N39" s="50"/>
      <c r="O39" s="50"/>
      <c r="P39" s="50"/>
      <c r="Q39" s="50"/>
      <c r="R39" s="50"/>
      <c r="S39" s="50"/>
    </row>
    <row r="40" spans="11:19" ht="15" customHeight="1">
      <c r="K40" s="50"/>
      <c r="L40" s="50"/>
      <c r="M40" s="50"/>
      <c r="N40" s="50"/>
      <c r="O40" s="50"/>
      <c r="P40" s="50"/>
      <c r="Q40" s="50"/>
      <c r="R40" s="50"/>
      <c r="S40" s="50"/>
    </row>
    <row r="41" spans="11:19" ht="15" customHeight="1">
      <c r="K41" s="50"/>
      <c r="L41" s="50"/>
      <c r="M41" s="50"/>
      <c r="N41" s="50"/>
      <c r="O41" s="50"/>
      <c r="P41" s="50"/>
      <c r="Q41" s="50"/>
      <c r="R41" s="50"/>
      <c r="S41" s="50"/>
    </row>
    <row r="42" spans="11:19" ht="15" customHeight="1">
      <c r="K42" s="50"/>
      <c r="L42" s="50"/>
      <c r="M42" s="50"/>
      <c r="N42" s="50"/>
      <c r="O42" s="50"/>
      <c r="P42" s="50"/>
      <c r="Q42" s="50"/>
      <c r="R42" s="50"/>
      <c r="S42" s="50"/>
    </row>
    <row r="43" spans="11:19" ht="15" customHeight="1">
      <c r="K43" s="50"/>
      <c r="L43" s="50"/>
      <c r="M43" s="50"/>
      <c r="N43" s="50"/>
      <c r="O43" s="50"/>
      <c r="P43" s="50"/>
      <c r="Q43" s="50"/>
      <c r="R43" s="50"/>
      <c r="S43" s="50"/>
    </row>
    <row r="44" spans="11:19" ht="15" customHeight="1">
      <c r="K44" s="50"/>
      <c r="L44" s="50"/>
      <c r="M44" s="50"/>
      <c r="N44" s="50"/>
      <c r="O44" s="50"/>
      <c r="P44" s="50"/>
      <c r="Q44" s="50"/>
      <c r="R44" s="50"/>
      <c r="S44" s="50"/>
    </row>
    <row r="45" spans="11:19" ht="15" customHeight="1">
      <c r="K45" s="50"/>
      <c r="L45" s="50"/>
      <c r="M45" s="50"/>
      <c r="N45" s="50"/>
      <c r="O45" s="50"/>
      <c r="P45" s="50"/>
      <c r="Q45" s="50"/>
      <c r="R45" s="50"/>
      <c r="S45" s="50"/>
    </row>
    <row r="46" spans="11:19" ht="15" customHeight="1">
      <c r="K46" s="50"/>
      <c r="L46" s="50"/>
      <c r="M46" s="50"/>
      <c r="N46" s="50"/>
      <c r="O46" s="50"/>
      <c r="P46" s="50"/>
      <c r="Q46" s="50"/>
      <c r="R46" s="50"/>
      <c r="S46" s="50"/>
    </row>
    <row r="47" spans="11:19" ht="15" customHeight="1">
      <c r="K47" s="50"/>
      <c r="L47" s="50"/>
      <c r="M47" s="50"/>
      <c r="N47" s="50"/>
      <c r="O47" s="50"/>
      <c r="P47" s="50"/>
      <c r="Q47" s="50"/>
      <c r="R47" s="50"/>
      <c r="S47" s="50"/>
    </row>
    <row r="48" spans="11:19" ht="15" customHeight="1">
      <c r="K48" s="50"/>
      <c r="L48" s="50"/>
      <c r="M48" s="50"/>
      <c r="N48" s="50"/>
      <c r="O48" s="50"/>
      <c r="P48" s="50"/>
      <c r="Q48" s="50"/>
      <c r="R48" s="50"/>
      <c r="S48" s="50"/>
    </row>
    <row r="49" spans="11:19" ht="15" customHeight="1">
      <c r="K49" s="50"/>
      <c r="L49" s="50"/>
      <c r="M49" s="50"/>
      <c r="N49" s="50"/>
      <c r="O49" s="50"/>
      <c r="P49" s="50"/>
      <c r="Q49" s="50"/>
      <c r="R49" s="50"/>
      <c r="S49" s="50"/>
    </row>
    <row r="50" spans="11:19" ht="15" customHeight="1">
      <c r="K50" s="50"/>
      <c r="L50" s="50"/>
      <c r="M50" s="50"/>
      <c r="N50" s="50"/>
      <c r="O50" s="50"/>
      <c r="P50" s="50"/>
      <c r="Q50" s="50"/>
      <c r="R50" s="50"/>
      <c r="S50" s="50"/>
    </row>
    <row r="51" spans="11:19" ht="15" customHeight="1">
      <c r="K51" s="50"/>
      <c r="L51" s="50"/>
      <c r="M51" s="50"/>
      <c r="N51" s="50"/>
      <c r="O51" s="50"/>
      <c r="P51" s="50"/>
      <c r="Q51" s="50"/>
      <c r="R51" s="50"/>
      <c r="S51" s="50"/>
    </row>
    <row r="52" spans="11:19" ht="15" customHeight="1">
      <c r="K52" s="50"/>
      <c r="L52" s="50"/>
      <c r="M52" s="50"/>
      <c r="N52" s="50"/>
      <c r="O52" s="50"/>
      <c r="P52" s="50"/>
      <c r="Q52" s="50"/>
      <c r="R52" s="50"/>
      <c r="S52" s="50"/>
    </row>
    <row r="53" spans="11:19" ht="15" customHeight="1">
      <c r="K53" s="50"/>
      <c r="L53" s="50"/>
      <c r="M53" s="50"/>
      <c r="N53" s="50"/>
      <c r="O53" s="50"/>
      <c r="P53" s="50"/>
      <c r="Q53" s="50"/>
      <c r="R53" s="50"/>
      <c r="S53" s="50"/>
    </row>
    <row r="54" spans="11:19" ht="15" customHeight="1">
      <c r="K54" s="50"/>
      <c r="L54" s="50"/>
      <c r="M54" s="50"/>
      <c r="N54" s="50"/>
      <c r="O54" s="50"/>
      <c r="P54" s="50"/>
      <c r="Q54" s="50"/>
      <c r="R54" s="50"/>
      <c r="S54" s="50"/>
    </row>
    <row r="55" spans="11:19" ht="15" customHeight="1">
      <c r="K55" s="50"/>
      <c r="L55" s="50"/>
      <c r="M55" s="50"/>
      <c r="N55" s="50"/>
      <c r="O55" s="50"/>
      <c r="P55" s="50"/>
      <c r="Q55" s="50"/>
      <c r="R55" s="50"/>
      <c r="S55" s="50"/>
    </row>
    <row r="56" spans="11:19" ht="15" customHeight="1">
      <c r="K56" s="50"/>
      <c r="L56" s="50"/>
      <c r="M56" s="50"/>
      <c r="N56" s="50"/>
      <c r="O56" s="50"/>
      <c r="P56" s="50"/>
      <c r="Q56" s="50"/>
      <c r="R56" s="50"/>
      <c r="S56" s="50"/>
    </row>
    <row r="57" spans="11:19" ht="15" customHeight="1">
      <c r="K57" s="50"/>
      <c r="L57" s="50"/>
      <c r="M57" s="50"/>
      <c r="N57" s="50"/>
      <c r="O57" s="50"/>
      <c r="P57" s="50"/>
      <c r="Q57" s="50"/>
      <c r="R57" s="50"/>
      <c r="S57" s="50"/>
    </row>
    <row r="58" spans="11:19" ht="15" customHeight="1">
      <c r="K58" s="50"/>
      <c r="L58" s="50"/>
      <c r="M58" s="50"/>
      <c r="N58" s="50"/>
      <c r="O58" s="50"/>
      <c r="P58" s="50"/>
      <c r="Q58" s="50"/>
      <c r="R58" s="50"/>
      <c r="S58" s="50"/>
    </row>
    <row r="59" spans="11:19" ht="15" customHeight="1">
      <c r="K59" s="50"/>
      <c r="L59" s="50"/>
      <c r="M59" s="50"/>
      <c r="N59" s="50"/>
      <c r="O59" s="50"/>
      <c r="P59" s="50"/>
      <c r="Q59" s="50"/>
      <c r="R59" s="50"/>
      <c r="S59" s="50"/>
    </row>
    <row r="60" spans="11:19" ht="15" customHeight="1">
      <c r="K60" s="50"/>
      <c r="L60" s="50"/>
      <c r="M60" s="50"/>
      <c r="N60" s="50"/>
      <c r="O60" s="50"/>
      <c r="P60" s="50"/>
      <c r="Q60" s="50"/>
      <c r="R60" s="50"/>
      <c r="S60" s="50"/>
    </row>
    <row r="61" spans="11:19" ht="15" customHeight="1">
      <c r="K61" s="50"/>
      <c r="L61" s="50"/>
      <c r="M61" s="50"/>
      <c r="N61" s="50"/>
      <c r="O61" s="50"/>
      <c r="P61" s="50"/>
      <c r="Q61" s="50"/>
      <c r="R61" s="50"/>
      <c r="S61" s="50"/>
    </row>
    <row r="62" spans="11:19" ht="15" customHeight="1">
      <c r="K62" s="50"/>
      <c r="L62" s="50"/>
      <c r="M62" s="50"/>
      <c r="N62" s="50"/>
      <c r="O62" s="50"/>
      <c r="P62" s="50"/>
      <c r="Q62" s="50"/>
      <c r="R62" s="50"/>
      <c r="S62" s="50"/>
    </row>
    <row r="63" spans="11:19" ht="15" customHeight="1">
      <c r="K63" s="50"/>
      <c r="L63" s="50"/>
      <c r="M63" s="50"/>
      <c r="N63" s="50"/>
      <c r="O63" s="50"/>
      <c r="P63" s="50"/>
      <c r="Q63" s="50"/>
      <c r="R63" s="50"/>
      <c r="S63" s="50"/>
    </row>
    <row r="64" spans="11:19" ht="15" customHeight="1">
      <c r="K64" s="50"/>
      <c r="L64" s="50"/>
      <c r="M64" s="50"/>
      <c r="N64" s="50"/>
      <c r="O64" s="50"/>
      <c r="P64" s="50"/>
      <c r="Q64" s="50"/>
      <c r="R64" s="50"/>
      <c r="S64" s="50"/>
    </row>
    <row r="65" spans="11:19" ht="15" customHeight="1">
      <c r="K65" s="50"/>
      <c r="L65" s="50"/>
      <c r="M65" s="50"/>
      <c r="N65" s="50"/>
      <c r="O65" s="50"/>
      <c r="P65" s="50"/>
      <c r="Q65" s="50"/>
      <c r="R65" s="50"/>
      <c r="S65" s="50"/>
    </row>
    <row r="66" spans="11:19" ht="15" customHeight="1">
      <c r="K66" s="50"/>
      <c r="L66" s="50"/>
      <c r="M66" s="50"/>
      <c r="N66" s="50"/>
      <c r="O66" s="50"/>
      <c r="P66" s="50"/>
      <c r="Q66" s="50"/>
      <c r="R66" s="50"/>
      <c r="S66" s="50"/>
    </row>
    <row r="67" spans="11:19" ht="15" customHeight="1">
      <c r="K67" s="50"/>
      <c r="L67" s="50"/>
      <c r="M67" s="50"/>
      <c r="N67" s="50"/>
      <c r="O67" s="50"/>
      <c r="P67" s="50"/>
      <c r="Q67" s="50"/>
      <c r="R67" s="50"/>
      <c r="S67" s="50"/>
    </row>
    <row r="68" spans="11:19" ht="15" customHeight="1">
      <c r="K68" s="50"/>
      <c r="L68" s="50"/>
      <c r="M68" s="50"/>
      <c r="N68" s="50"/>
      <c r="O68" s="50"/>
      <c r="P68" s="50"/>
      <c r="Q68" s="50"/>
      <c r="R68" s="50"/>
      <c r="S68" s="50"/>
    </row>
    <row r="69" spans="11:19" ht="15" customHeight="1">
      <c r="K69" s="50"/>
      <c r="L69" s="50"/>
      <c r="M69" s="50"/>
      <c r="N69" s="50"/>
      <c r="O69" s="50"/>
      <c r="P69" s="50"/>
      <c r="Q69" s="50"/>
      <c r="R69" s="50"/>
      <c r="S69" s="50"/>
    </row>
    <row r="70" spans="11:19" ht="15" customHeight="1">
      <c r="K70" s="50"/>
      <c r="L70" s="50"/>
      <c r="M70" s="50"/>
      <c r="N70" s="50"/>
      <c r="O70" s="50"/>
      <c r="P70" s="50"/>
      <c r="Q70" s="50"/>
      <c r="R70" s="50"/>
      <c r="S70" s="50"/>
    </row>
    <row r="71" spans="11:19" ht="15" customHeight="1">
      <c r="K71" s="50"/>
      <c r="L71" s="50"/>
      <c r="M71" s="50"/>
      <c r="N71" s="50"/>
      <c r="O71" s="50"/>
      <c r="P71" s="50"/>
      <c r="Q71" s="50"/>
      <c r="R71" s="50"/>
      <c r="S71" s="50"/>
    </row>
    <row r="72" spans="11:19" ht="15" customHeight="1">
      <c r="K72" s="50"/>
      <c r="L72" s="50"/>
      <c r="M72" s="50"/>
      <c r="N72" s="50"/>
      <c r="O72" s="50"/>
      <c r="P72" s="50"/>
      <c r="Q72" s="50"/>
      <c r="R72" s="50"/>
      <c r="S72" s="50"/>
    </row>
    <row r="73" spans="11:19" ht="15" customHeight="1">
      <c r="K73" s="50"/>
      <c r="L73" s="50"/>
      <c r="M73" s="50"/>
      <c r="N73" s="50"/>
      <c r="O73" s="50"/>
      <c r="P73" s="50"/>
      <c r="Q73" s="50"/>
      <c r="R73" s="50"/>
      <c r="S73" s="50"/>
    </row>
    <row r="74" spans="11:19" ht="15" customHeight="1">
      <c r="K74" s="50"/>
      <c r="L74" s="50"/>
      <c r="M74" s="50"/>
      <c r="N74" s="50"/>
      <c r="O74" s="50"/>
      <c r="P74" s="50"/>
      <c r="Q74" s="50"/>
      <c r="R74" s="50"/>
      <c r="S74" s="50"/>
    </row>
    <row r="75" spans="11:19" ht="15" customHeight="1">
      <c r="K75" s="50"/>
      <c r="L75" s="50"/>
      <c r="M75" s="50"/>
      <c r="N75" s="50"/>
      <c r="O75" s="50"/>
      <c r="P75" s="50"/>
      <c r="Q75" s="50"/>
      <c r="R75" s="50"/>
      <c r="S75" s="50"/>
    </row>
    <row r="76" spans="11:19" ht="15" customHeight="1">
      <c r="K76" s="50"/>
      <c r="L76" s="50"/>
      <c r="M76" s="50"/>
      <c r="N76" s="50"/>
      <c r="O76" s="50"/>
      <c r="P76" s="50"/>
      <c r="Q76" s="50"/>
      <c r="R76" s="50"/>
      <c r="S76" s="50"/>
    </row>
    <row r="77" spans="11:19" ht="15" customHeight="1">
      <c r="K77" s="50"/>
      <c r="L77" s="50"/>
      <c r="M77" s="50"/>
      <c r="N77" s="50"/>
      <c r="O77" s="50"/>
      <c r="P77" s="50"/>
      <c r="Q77" s="50"/>
      <c r="R77" s="50"/>
      <c r="S77" s="50"/>
    </row>
    <row r="78" spans="11:19" ht="15" customHeight="1">
      <c r="K78" s="50"/>
      <c r="L78" s="50"/>
      <c r="M78" s="50"/>
      <c r="N78" s="50"/>
      <c r="O78" s="50"/>
      <c r="P78" s="50"/>
      <c r="Q78" s="50"/>
      <c r="R78" s="50"/>
      <c r="S78" s="50"/>
    </row>
    <row r="79" spans="11:19" ht="15" customHeight="1">
      <c r="K79" s="50"/>
      <c r="L79" s="50"/>
      <c r="M79" s="50"/>
      <c r="N79" s="50"/>
      <c r="O79" s="50"/>
      <c r="P79" s="50"/>
      <c r="Q79" s="50"/>
      <c r="R79" s="50"/>
      <c r="S79" s="50"/>
    </row>
    <row r="80" spans="11:19" ht="15" customHeight="1">
      <c r="K80" s="50"/>
      <c r="L80" s="50"/>
      <c r="M80" s="50"/>
      <c r="N80" s="50"/>
      <c r="O80" s="50"/>
      <c r="P80" s="50"/>
      <c r="Q80" s="50"/>
      <c r="R80" s="50"/>
      <c r="S80" s="50"/>
    </row>
    <row r="81" spans="11:19" ht="15" customHeight="1">
      <c r="K81" s="50"/>
      <c r="L81" s="50"/>
      <c r="M81" s="50"/>
      <c r="N81" s="50"/>
      <c r="O81" s="50"/>
      <c r="P81" s="50"/>
      <c r="Q81" s="50"/>
      <c r="R81" s="50"/>
      <c r="S81" s="50"/>
    </row>
    <row r="82" spans="11:19" ht="15" customHeight="1">
      <c r="K82" s="50"/>
      <c r="L82" s="50"/>
      <c r="M82" s="50"/>
      <c r="N82" s="50"/>
      <c r="O82" s="50"/>
      <c r="P82" s="50"/>
      <c r="Q82" s="50"/>
      <c r="R82" s="50"/>
      <c r="S82" s="50"/>
    </row>
    <row r="83" spans="11:19" ht="15" customHeight="1">
      <c r="K83" s="50"/>
      <c r="L83" s="50"/>
      <c r="M83" s="50"/>
      <c r="N83" s="50"/>
      <c r="O83" s="50"/>
      <c r="P83" s="50"/>
      <c r="Q83" s="50"/>
      <c r="R83" s="50"/>
      <c r="S83" s="50"/>
    </row>
    <row r="84" spans="11:19" ht="15" customHeight="1">
      <c r="K84" s="50"/>
      <c r="L84" s="50"/>
      <c r="M84" s="50"/>
      <c r="N84" s="50"/>
      <c r="O84" s="50"/>
      <c r="P84" s="50"/>
      <c r="Q84" s="50"/>
      <c r="R84" s="50"/>
      <c r="S84" s="50"/>
    </row>
    <row r="85" spans="11:19" ht="15" customHeight="1">
      <c r="K85" s="50"/>
      <c r="L85" s="50"/>
      <c r="M85" s="50"/>
      <c r="N85" s="50"/>
      <c r="O85" s="50"/>
      <c r="P85" s="50"/>
      <c r="Q85" s="50"/>
      <c r="R85" s="50"/>
      <c r="S85" s="50"/>
    </row>
    <row r="86" spans="11:19" ht="15" customHeight="1">
      <c r="K86" s="50"/>
      <c r="L86" s="50"/>
      <c r="M86" s="50"/>
      <c r="N86" s="50"/>
      <c r="O86" s="50"/>
      <c r="P86" s="50"/>
      <c r="Q86" s="50"/>
      <c r="R86" s="50"/>
      <c r="S86" s="50"/>
    </row>
    <row r="87" spans="11:19" ht="15" customHeight="1">
      <c r="K87" s="50"/>
      <c r="L87" s="50"/>
      <c r="M87" s="50"/>
      <c r="N87" s="50"/>
      <c r="O87" s="50"/>
      <c r="P87" s="50"/>
      <c r="Q87" s="50"/>
      <c r="R87" s="50"/>
      <c r="S87" s="50"/>
    </row>
    <row r="88" spans="11:19" ht="15" customHeight="1">
      <c r="K88" s="50"/>
      <c r="L88" s="50"/>
      <c r="M88" s="50"/>
      <c r="N88" s="50"/>
      <c r="O88" s="50"/>
      <c r="P88" s="50"/>
      <c r="Q88" s="50"/>
      <c r="R88" s="50"/>
      <c r="S88" s="50"/>
    </row>
    <row r="89" spans="11:19" ht="15" customHeight="1">
      <c r="K89" s="50"/>
      <c r="L89" s="50"/>
      <c r="M89" s="50"/>
      <c r="N89" s="50"/>
      <c r="O89" s="50"/>
      <c r="P89" s="50"/>
      <c r="Q89" s="50"/>
      <c r="R89" s="50"/>
      <c r="S89" s="50"/>
    </row>
    <row r="90" spans="11:19" ht="15" customHeight="1">
      <c r="K90" s="50"/>
      <c r="L90" s="50"/>
      <c r="M90" s="50"/>
      <c r="N90" s="50"/>
      <c r="O90" s="50"/>
      <c r="P90" s="50"/>
      <c r="Q90" s="50"/>
      <c r="R90" s="50"/>
      <c r="S90" s="50"/>
    </row>
    <row r="91" spans="11:19" ht="15" customHeight="1">
      <c r="K91" s="50"/>
      <c r="L91" s="50"/>
      <c r="M91" s="50"/>
      <c r="N91" s="50"/>
      <c r="O91" s="50"/>
      <c r="P91" s="50"/>
      <c r="Q91" s="50"/>
      <c r="R91" s="50"/>
      <c r="S91" s="50"/>
    </row>
    <row r="92" spans="11:19" ht="15" customHeight="1">
      <c r="K92" s="50"/>
      <c r="L92" s="50"/>
      <c r="M92" s="50"/>
      <c r="N92" s="50"/>
      <c r="O92" s="50"/>
      <c r="P92" s="50"/>
      <c r="Q92" s="50"/>
      <c r="R92" s="50"/>
      <c r="S92" s="50"/>
    </row>
    <row r="93" spans="11:19" ht="15" customHeight="1">
      <c r="K93" s="50"/>
      <c r="L93" s="50"/>
      <c r="M93" s="50"/>
      <c r="N93" s="50"/>
      <c r="O93" s="50"/>
      <c r="P93" s="50"/>
      <c r="Q93" s="50"/>
      <c r="R93" s="50"/>
      <c r="S93" s="50"/>
    </row>
    <row r="94" spans="11:19" ht="15" customHeight="1">
      <c r="K94" s="50"/>
      <c r="L94" s="50"/>
      <c r="M94" s="50"/>
      <c r="N94" s="50"/>
      <c r="O94" s="50"/>
      <c r="P94" s="50"/>
      <c r="Q94" s="50"/>
      <c r="R94" s="50"/>
      <c r="S94" s="50"/>
    </row>
    <row r="95" spans="11:19" ht="15" customHeight="1">
      <c r="K95" s="50"/>
      <c r="L95" s="50"/>
      <c r="M95" s="50"/>
      <c r="N95" s="50"/>
      <c r="O95" s="50"/>
      <c r="P95" s="50"/>
      <c r="Q95" s="50"/>
      <c r="R95" s="50"/>
      <c r="S95" s="50"/>
    </row>
    <row r="96" spans="11:19" ht="15" customHeight="1">
      <c r="K96" s="50"/>
      <c r="L96" s="50"/>
      <c r="M96" s="50"/>
      <c r="N96" s="50"/>
      <c r="O96" s="50"/>
      <c r="P96" s="50"/>
      <c r="Q96" s="50"/>
      <c r="R96" s="50"/>
      <c r="S96" s="50"/>
    </row>
    <row r="97" spans="11:19" ht="15" customHeight="1">
      <c r="K97" s="50"/>
      <c r="L97" s="50"/>
      <c r="M97" s="50"/>
      <c r="N97" s="50"/>
      <c r="O97" s="50"/>
      <c r="P97" s="50"/>
      <c r="Q97" s="50"/>
      <c r="R97" s="50"/>
      <c r="S97" s="50"/>
    </row>
    <row r="98" spans="11:19" ht="15" customHeight="1">
      <c r="K98" s="50"/>
      <c r="L98" s="50"/>
      <c r="M98" s="50"/>
      <c r="N98" s="50"/>
      <c r="O98" s="50"/>
      <c r="P98" s="50"/>
      <c r="Q98" s="50"/>
      <c r="R98" s="50"/>
      <c r="S98" s="50"/>
    </row>
    <row r="99" spans="11:19" ht="15" customHeight="1">
      <c r="K99" s="50"/>
      <c r="L99" s="50"/>
      <c r="M99" s="50"/>
      <c r="N99" s="50"/>
      <c r="O99" s="50"/>
      <c r="P99" s="50"/>
      <c r="Q99" s="50"/>
      <c r="R99" s="50"/>
      <c r="S99" s="50"/>
    </row>
    <row r="100" spans="11:19" ht="15" customHeight="1">
      <c r="K100" s="50"/>
      <c r="L100" s="50"/>
      <c r="M100" s="50"/>
      <c r="N100" s="50"/>
      <c r="O100" s="50"/>
      <c r="P100" s="50"/>
      <c r="Q100" s="50"/>
      <c r="R100" s="50"/>
      <c r="S100" s="50"/>
    </row>
    <row r="101" spans="11:19" ht="15" customHeight="1">
      <c r="K101" s="50"/>
      <c r="L101" s="50"/>
      <c r="M101" s="50"/>
      <c r="N101" s="50"/>
      <c r="O101" s="50"/>
      <c r="P101" s="50"/>
      <c r="Q101" s="50"/>
      <c r="R101" s="50"/>
      <c r="S101" s="50"/>
    </row>
    <row r="102" spans="11:19" ht="15" customHeight="1">
      <c r="K102" s="50"/>
      <c r="L102" s="50"/>
      <c r="M102" s="50"/>
      <c r="N102" s="50"/>
      <c r="O102" s="50"/>
      <c r="P102" s="50"/>
      <c r="Q102" s="50"/>
      <c r="R102" s="50"/>
      <c r="S102" s="50"/>
    </row>
    <row r="103" spans="11:19" ht="15" customHeight="1">
      <c r="K103" s="50"/>
      <c r="L103" s="50"/>
      <c r="M103" s="50"/>
      <c r="N103" s="50"/>
      <c r="O103" s="50"/>
      <c r="P103" s="50"/>
      <c r="Q103" s="50"/>
      <c r="R103" s="50"/>
      <c r="S103" s="50"/>
    </row>
    <row r="104" spans="11:19" ht="15" customHeight="1">
      <c r="K104" s="50"/>
      <c r="L104" s="50"/>
      <c r="M104" s="50"/>
      <c r="N104" s="50"/>
      <c r="O104" s="50"/>
      <c r="P104" s="50"/>
      <c r="Q104" s="50"/>
      <c r="R104" s="50"/>
      <c r="S104" s="50"/>
    </row>
    <row r="105" spans="11:19" ht="15" customHeight="1">
      <c r="K105" s="50"/>
      <c r="L105" s="50"/>
      <c r="M105" s="50"/>
      <c r="N105" s="50"/>
      <c r="O105" s="50"/>
      <c r="P105" s="50"/>
      <c r="Q105" s="50"/>
      <c r="R105" s="50"/>
      <c r="S105" s="50"/>
    </row>
    <row r="106" spans="11:19" ht="15" customHeight="1">
      <c r="K106" s="50"/>
      <c r="L106" s="50"/>
      <c r="M106" s="50"/>
      <c r="N106" s="50"/>
      <c r="O106" s="50"/>
      <c r="P106" s="50"/>
      <c r="Q106" s="50"/>
      <c r="R106" s="50"/>
      <c r="S106" s="50"/>
    </row>
    <row r="107" spans="11:19" ht="15" customHeight="1">
      <c r="K107" s="50"/>
      <c r="L107" s="50"/>
      <c r="M107" s="50"/>
      <c r="N107" s="50"/>
      <c r="O107" s="50"/>
      <c r="P107" s="50"/>
      <c r="Q107" s="50"/>
      <c r="R107" s="50"/>
      <c r="S107" s="50"/>
    </row>
    <row r="108" spans="11:19" ht="15" customHeight="1">
      <c r="K108" s="50"/>
      <c r="L108" s="50"/>
      <c r="M108" s="50"/>
      <c r="N108" s="50"/>
      <c r="O108" s="50"/>
      <c r="P108" s="50"/>
      <c r="Q108" s="50"/>
      <c r="R108" s="50"/>
      <c r="S108" s="50"/>
    </row>
    <row r="109" spans="11:19" ht="15" customHeight="1">
      <c r="K109" s="50"/>
      <c r="L109" s="50"/>
      <c r="M109" s="50"/>
      <c r="N109" s="50"/>
      <c r="O109" s="50"/>
      <c r="P109" s="50"/>
      <c r="Q109" s="50"/>
      <c r="R109" s="50"/>
      <c r="S109" s="50"/>
    </row>
    <row r="110" spans="11:19" ht="15" customHeight="1">
      <c r="K110" s="50"/>
      <c r="L110" s="50"/>
      <c r="M110" s="50"/>
      <c r="N110" s="50"/>
      <c r="O110" s="50"/>
      <c r="P110" s="50"/>
      <c r="Q110" s="50"/>
      <c r="R110" s="50"/>
      <c r="S110" s="50"/>
    </row>
    <row r="111" spans="11:19" ht="15" customHeight="1">
      <c r="K111" s="50"/>
      <c r="L111" s="50"/>
      <c r="M111" s="50"/>
      <c r="N111" s="50"/>
      <c r="O111" s="50"/>
      <c r="P111" s="50"/>
      <c r="Q111" s="50"/>
      <c r="R111" s="50"/>
      <c r="S111" s="50"/>
    </row>
    <row r="112" spans="11:19" ht="15" customHeight="1">
      <c r="K112" s="50"/>
      <c r="L112" s="50"/>
      <c r="M112" s="50"/>
      <c r="N112" s="50"/>
      <c r="O112" s="50"/>
      <c r="P112" s="50"/>
      <c r="Q112" s="50"/>
      <c r="R112" s="50"/>
      <c r="S112" s="50"/>
    </row>
    <row r="113" spans="11:19" ht="15" customHeight="1">
      <c r="K113" s="50"/>
      <c r="L113" s="50"/>
      <c r="M113" s="50"/>
      <c r="N113" s="50"/>
      <c r="O113" s="50"/>
      <c r="P113" s="50"/>
      <c r="Q113" s="50"/>
      <c r="R113" s="50"/>
      <c r="S113" s="50"/>
    </row>
    <row r="114" spans="11:19" ht="15" customHeight="1">
      <c r="K114" s="50"/>
      <c r="L114" s="50"/>
      <c r="M114" s="50"/>
      <c r="N114" s="50"/>
      <c r="O114" s="50"/>
      <c r="P114" s="50"/>
      <c r="Q114" s="50"/>
      <c r="R114" s="50"/>
      <c r="S114" s="50"/>
    </row>
    <row r="115" spans="11:19" ht="15" customHeight="1">
      <c r="K115" s="50"/>
      <c r="L115" s="50"/>
      <c r="M115" s="50"/>
      <c r="N115" s="50"/>
      <c r="O115" s="50"/>
      <c r="P115" s="50"/>
      <c r="Q115" s="50"/>
      <c r="R115" s="50"/>
      <c r="S115" s="50"/>
    </row>
    <row r="116" spans="11:19" ht="15" customHeight="1">
      <c r="K116" s="50"/>
      <c r="L116" s="50"/>
      <c r="M116" s="50"/>
      <c r="N116" s="50"/>
      <c r="O116" s="50"/>
      <c r="P116" s="50"/>
      <c r="Q116" s="50"/>
      <c r="R116" s="50"/>
      <c r="S116" s="50"/>
    </row>
    <row r="117" spans="11:19" ht="15" customHeight="1">
      <c r="K117" s="50"/>
      <c r="L117" s="50"/>
      <c r="M117" s="50"/>
      <c r="N117" s="50"/>
      <c r="O117" s="50"/>
      <c r="P117" s="50"/>
      <c r="Q117" s="50"/>
      <c r="R117" s="50"/>
      <c r="S117" s="50"/>
    </row>
    <row r="118" spans="11:19" ht="15" customHeight="1">
      <c r="K118" s="50"/>
      <c r="L118" s="50"/>
      <c r="M118" s="50"/>
      <c r="N118" s="50"/>
      <c r="O118" s="50"/>
      <c r="P118" s="50"/>
      <c r="Q118" s="50"/>
      <c r="R118" s="50"/>
      <c r="S118" s="50"/>
    </row>
  </sheetData>
  <mergeCells count="1">
    <mergeCell ref="H1:I1"/>
  </mergeCells>
  <conditionalFormatting sqref="B1">
    <cfRule type="cellIs" dxfId="11" priority="1" operator="equal">
      <formula>"Incomplete"</formula>
    </cfRule>
    <cfRule type="cellIs" dxfId="10" priority="2" operator="equal">
      <formula>"Flag for Review"</formula>
    </cfRule>
    <cfRule type="cellIs" dxfId="9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Y98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2" width="9.140625" style="42"/>
    <col min="13" max="13" width="13.7109375" style="42" bestFit="1" customWidth="1"/>
    <col min="14" max="14" width="12.7109375" style="42" bestFit="1" customWidth="1"/>
    <col min="15" max="15" width="11.7109375" style="42" bestFit="1" customWidth="1"/>
    <col min="16" max="16" width="12.7109375" style="42" bestFit="1" customWidth="1"/>
    <col min="17" max="17" width="9.140625" style="42"/>
    <col min="18" max="19" width="9.140625" style="34"/>
    <col min="20" max="16384" width="9.140625" style="24"/>
  </cols>
  <sheetData>
    <row r="1" spans="1:25" ht="15" customHeight="1">
      <c r="A1" s="7">
        <v>25</v>
      </c>
      <c r="B1" s="32" t="s">
        <v>12</v>
      </c>
      <c r="C1" s="23"/>
      <c r="D1" s="23"/>
      <c r="E1" s="23"/>
      <c r="F1" s="23"/>
      <c r="G1" s="23"/>
      <c r="H1" s="23"/>
      <c r="I1" s="23"/>
      <c r="J1" s="469" t="s">
        <v>30</v>
      </c>
      <c r="K1" s="472"/>
      <c r="L1" s="24"/>
      <c r="M1" s="440" t="s">
        <v>316</v>
      </c>
      <c r="N1" s="440"/>
      <c r="O1" s="440"/>
      <c r="P1" s="34"/>
      <c r="Q1" s="34"/>
      <c r="T1" s="34"/>
      <c r="U1" s="34"/>
    </row>
    <row r="2" spans="1:25" ht="15" customHeight="1">
      <c r="A2" s="25"/>
      <c r="B2" s="22"/>
      <c r="C2" s="22"/>
      <c r="D2" s="22"/>
      <c r="E2" s="22"/>
      <c r="F2" s="22"/>
      <c r="G2" s="22"/>
      <c r="H2" s="22"/>
      <c r="I2" s="22"/>
      <c r="J2" s="22"/>
      <c r="K2" s="26"/>
      <c r="L2" s="24"/>
      <c r="M2" s="440"/>
      <c r="N2" s="440"/>
      <c r="O2" s="440"/>
      <c r="P2" s="34"/>
      <c r="Q2" s="34"/>
      <c r="T2" s="34"/>
      <c r="U2" s="34"/>
    </row>
    <row r="3" spans="1:25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6"/>
      <c r="L3" s="24"/>
      <c r="M3" s="440"/>
      <c r="N3" s="440"/>
      <c r="O3" s="440"/>
      <c r="P3" s="34"/>
      <c r="Q3" s="34"/>
      <c r="T3" s="34"/>
      <c r="U3" s="34"/>
    </row>
    <row r="4" spans="1:25" ht="15" customHeight="1">
      <c r="A4" s="9">
        <f>INDEX('Point Grid'!B:B,MATCH($A$1,'Point Grid'!A:A,0))</f>
        <v>2.75</v>
      </c>
      <c r="B4" s="229" t="s">
        <v>925</v>
      </c>
      <c r="C4" s="22"/>
      <c r="D4" s="22"/>
      <c r="E4" s="22"/>
      <c r="F4" s="22"/>
      <c r="G4" s="22"/>
      <c r="H4" s="22"/>
      <c r="I4" s="22"/>
      <c r="J4" s="22"/>
      <c r="K4" s="26"/>
      <c r="L4" s="24"/>
      <c r="M4" s="420" t="s">
        <v>2</v>
      </c>
      <c r="N4" s="1" t="s">
        <v>921</v>
      </c>
      <c r="O4"/>
      <c r="P4"/>
      <c r="Q4"/>
      <c r="R4"/>
      <c r="S4"/>
      <c r="T4"/>
      <c r="U4"/>
      <c r="V4"/>
      <c r="W4"/>
      <c r="X4"/>
    </row>
    <row r="5" spans="1:25" ht="15" customHeight="1">
      <c r="A5" s="25"/>
      <c r="B5" s="22"/>
      <c r="C5" s="22"/>
      <c r="D5" s="22"/>
      <c r="E5" s="22"/>
      <c r="F5" s="22"/>
      <c r="G5" s="22"/>
      <c r="H5" s="22"/>
      <c r="I5" s="22"/>
      <c r="J5" s="22"/>
      <c r="K5" s="26"/>
      <c r="L5" s="24"/>
      <c r="M5" s="440"/>
      <c r="N5" s="440"/>
      <c r="O5" s="440"/>
      <c r="P5" s="441"/>
      <c r="Q5" s="34"/>
      <c r="T5" s="34"/>
      <c r="U5" s="34"/>
    </row>
    <row r="6" spans="1:25" ht="15" customHeight="1">
      <c r="A6" s="29" t="s">
        <v>2</v>
      </c>
      <c r="B6" s="229" t="s">
        <v>927</v>
      </c>
      <c r="C6" s="229"/>
      <c r="D6" s="229"/>
      <c r="E6" s="229"/>
      <c r="F6" s="229"/>
      <c r="G6" s="229"/>
      <c r="H6" s="229"/>
      <c r="I6" s="229"/>
      <c r="J6" s="229"/>
      <c r="K6" s="26"/>
      <c r="L6" s="243"/>
      <c r="M6" s="299" t="s">
        <v>396</v>
      </c>
      <c r="N6" s="424" t="s">
        <v>867</v>
      </c>
      <c r="O6" s="243"/>
      <c r="P6" s="243"/>
      <c r="Q6" s="243"/>
      <c r="R6" s="243"/>
      <c r="S6" s="243"/>
      <c r="T6" s="243"/>
      <c r="U6" s="243"/>
      <c r="V6" s="243"/>
      <c r="W6" s="243"/>
      <c r="X6" s="243"/>
      <c r="Y6" s="243"/>
    </row>
    <row r="7" spans="1:25" ht="15" customHeight="1" thickBot="1">
      <c r="A7" s="9">
        <f>INDEX('Point Grid'!$C$8:$I$35,MATCH($A$1,'Point Grid'!$A$8:$A$35,0),MATCH(A6,'Point Grid'!$C$7:$I$7,0))</f>
        <v>0.75</v>
      </c>
      <c r="B7" s="229"/>
      <c r="C7" s="31"/>
      <c r="D7" s="31"/>
      <c r="E7" s="31"/>
      <c r="F7" s="31"/>
      <c r="G7" s="31"/>
      <c r="H7" s="31"/>
      <c r="I7" s="31"/>
      <c r="J7" s="31"/>
      <c r="K7" s="26"/>
      <c r="L7" s="243"/>
      <c r="M7" s="243"/>
      <c r="N7" s="243"/>
      <c r="O7" s="243" t="s">
        <v>868</v>
      </c>
      <c r="P7" s="243"/>
      <c r="Q7" s="243"/>
      <c r="R7" s="395" t="s">
        <v>521</v>
      </c>
      <c r="S7" s="299" t="s">
        <v>869</v>
      </c>
      <c r="T7" s="395" t="s">
        <v>705</v>
      </c>
      <c r="U7" s="243" t="s">
        <v>870</v>
      </c>
      <c r="V7" s="243"/>
      <c r="W7" s="50"/>
      <c r="X7" s="243"/>
      <c r="Y7" s="243"/>
    </row>
    <row r="8" spans="1:25" ht="15" customHeight="1" thickBot="1">
      <c r="A8" s="5"/>
      <c r="B8" s="229"/>
      <c r="C8" s="229"/>
      <c r="D8" s="229"/>
      <c r="E8" s="229"/>
      <c r="F8" s="229"/>
      <c r="G8" s="229"/>
      <c r="H8" s="229"/>
      <c r="I8" s="229"/>
      <c r="J8" s="229"/>
      <c r="K8" s="26"/>
      <c r="L8" s="243"/>
      <c r="M8" s="243"/>
      <c r="N8" s="243"/>
      <c r="O8" s="243"/>
      <c r="P8" s="243"/>
      <c r="Q8" s="243"/>
      <c r="R8" s="395" t="s">
        <v>521</v>
      </c>
      <c r="S8" s="425">
        <f>G24</f>
        <v>2000</v>
      </c>
      <c r="T8" s="395" t="s">
        <v>705</v>
      </c>
      <c r="U8" s="426">
        <f>D20</f>
        <v>2</v>
      </c>
      <c r="V8" s="243"/>
      <c r="W8" s="50"/>
      <c r="X8" s="243"/>
      <c r="Y8" s="243"/>
    </row>
    <row r="9" spans="1:25" ht="15" customHeight="1">
      <c r="A9" s="31"/>
      <c r="B9" s="31"/>
      <c r="C9" s="229"/>
      <c r="D9" s="229"/>
      <c r="E9" s="229"/>
      <c r="F9" s="229"/>
      <c r="G9" s="229"/>
      <c r="H9" s="229"/>
      <c r="I9" s="229"/>
      <c r="J9" s="229"/>
      <c r="K9" s="26"/>
      <c r="L9" s="243"/>
      <c r="M9" s="243"/>
      <c r="N9" s="243"/>
      <c r="O9" s="243"/>
      <c r="P9" s="243"/>
      <c r="Q9" s="243"/>
      <c r="R9" s="395" t="s">
        <v>521</v>
      </c>
      <c r="S9" s="427">
        <f>S8/U8</f>
        <v>1000</v>
      </c>
      <c r="T9" s="243"/>
      <c r="U9" s="243"/>
      <c r="V9" s="243"/>
      <c r="W9" s="243"/>
      <c r="X9" s="243"/>
      <c r="Y9" s="243"/>
    </row>
    <row r="10" spans="1:25" ht="15" customHeight="1">
      <c r="A10" s="29" t="s">
        <v>3</v>
      </c>
      <c r="B10" s="292" t="s">
        <v>926</v>
      </c>
      <c r="C10" s="292"/>
      <c r="D10" s="292"/>
      <c r="E10" s="292"/>
      <c r="F10" s="292"/>
      <c r="G10" s="292"/>
      <c r="H10" s="292"/>
      <c r="I10" s="292"/>
      <c r="J10" s="292"/>
      <c r="K10" s="26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</row>
    <row r="11" spans="1:25" ht="15" customHeight="1" thickBot="1">
      <c r="A11" s="9">
        <f>INDEX('Point Grid'!$C$8:$I$35,MATCH($A$1,'Point Grid'!$A$8:$A$35,0),MATCH(A10,'Point Grid'!$C$7:$I$7,0))</f>
        <v>0.5</v>
      </c>
      <c r="B11" s="31"/>
      <c r="C11" s="31"/>
      <c r="D11" s="31"/>
      <c r="E11" s="31"/>
      <c r="F11" s="31"/>
      <c r="G11" s="31"/>
      <c r="H11" s="31"/>
      <c r="I11" s="31"/>
      <c r="J11" s="31"/>
      <c r="K11" s="26"/>
      <c r="L11" s="243"/>
      <c r="M11" s="50"/>
      <c r="N11" s="1"/>
      <c r="O11" s="424"/>
      <c r="P11" s="243"/>
      <c r="Q11" s="428" t="s">
        <v>872</v>
      </c>
      <c r="R11" s="395" t="s">
        <v>521</v>
      </c>
      <c r="S11" s="442">
        <f>S9</f>
        <v>1000</v>
      </c>
      <c r="T11" s="50"/>
      <c r="U11" s="243"/>
      <c r="V11" s="243"/>
      <c r="W11" s="243"/>
      <c r="X11" s="50"/>
      <c r="Y11" s="50"/>
    </row>
    <row r="12" spans="1:25" ht="15" customHeight="1" thickBot="1">
      <c r="A12" s="5"/>
      <c r="B12" s="31"/>
      <c r="C12" s="31"/>
      <c r="D12" s="31"/>
      <c r="E12" s="31"/>
      <c r="F12" s="31"/>
      <c r="G12" s="31"/>
      <c r="H12" s="31"/>
      <c r="I12" s="31"/>
      <c r="J12" s="31"/>
      <c r="K12" s="26"/>
      <c r="L12" s="243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</row>
    <row r="13" spans="1:25" ht="15" customHeight="1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26"/>
      <c r="L13" s="243"/>
      <c r="M13" s="299" t="s">
        <v>406</v>
      </c>
      <c r="N13" s="424" t="s">
        <v>874</v>
      </c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</row>
    <row r="14" spans="1:25" ht="15" customHeight="1">
      <c r="A14" s="29" t="s">
        <v>4</v>
      </c>
      <c r="B14" s="292" t="s">
        <v>871</v>
      </c>
      <c r="C14" s="292"/>
      <c r="D14" s="292"/>
      <c r="E14" s="292"/>
      <c r="F14" s="292"/>
      <c r="G14" s="292"/>
      <c r="H14" s="292"/>
      <c r="I14" s="292"/>
      <c r="J14" s="292"/>
      <c r="K14" s="26"/>
      <c r="L14" s="243"/>
      <c r="M14" s="243"/>
      <c r="N14" s="243"/>
      <c r="O14" s="243" t="str">
        <f>B25 &amp; " amortized over " &amp; D20 &amp; " " &amp; E20</f>
        <v>directly attributable acquisition expenses amortized over 2 year(s)</v>
      </c>
      <c r="P14" s="243"/>
      <c r="Q14" s="243"/>
      <c r="R14" s="243"/>
      <c r="S14" s="243"/>
      <c r="T14" s="243"/>
      <c r="U14" s="243"/>
      <c r="V14" s="299" t="s">
        <v>521</v>
      </c>
      <c r="W14" s="429">
        <f>G25</f>
        <v>240</v>
      </c>
      <c r="X14" s="395" t="s">
        <v>705</v>
      </c>
      <c r="Y14" s="299">
        <f>D20</f>
        <v>2</v>
      </c>
    </row>
    <row r="15" spans="1:25" ht="15" customHeight="1" thickBot="1">
      <c r="A15" s="9">
        <f>INDEX('Point Grid'!$C$8:$I$35,MATCH($A$1,'Point Grid'!$A$8:$A$35,0),MATCH(A14,'Point Grid'!$C$7:$I$7,0))</f>
        <v>1.5</v>
      </c>
      <c r="B15" s="292"/>
      <c r="C15" s="292"/>
      <c r="D15" s="292"/>
      <c r="E15" s="292"/>
      <c r="F15" s="292"/>
      <c r="G15" s="292"/>
      <c r="H15" s="292"/>
      <c r="I15" s="292"/>
      <c r="J15" s="292"/>
      <c r="K15" s="26"/>
      <c r="L15" s="243"/>
      <c r="M15" s="243"/>
      <c r="N15" s="243"/>
      <c r="O15" s="430" t="s">
        <v>876</v>
      </c>
      <c r="P15" s="243"/>
      <c r="Q15" s="243"/>
      <c r="R15" s="243"/>
      <c r="S15" s="243"/>
      <c r="T15" s="243"/>
      <c r="U15" s="243"/>
      <c r="V15" s="299" t="s">
        <v>521</v>
      </c>
      <c r="W15" s="431">
        <f>W14/Y14</f>
        <v>120</v>
      </c>
      <c r="X15" s="243"/>
      <c r="Y15" s="243"/>
    </row>
    <row r="16" spans="1:25" ht="15" customHeight="1" thickBot="1">
      <c r="A16" s="5"/>
      <c r="B16" s="292"/>
      <c r="C16" s="292"/>
      <c r="D16" s="292"/>
      <c r="E16" s="292"/>
      <c r="F16" s="292"/>
      <c r="G16" s="292"/>
      <c r="H16" s="292"/>
      <c r="I16" s="292"/>
      <c r="J16" s="292"/>
      <c r="K16" s="26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</row>
    <row r="17" spans="1:25" ht="15" customHeight="1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26"/>
      <c r="L17" s="243"/>
      <c r="M17" s="243"/>
      <c r="N17" s="243"/>
      <c r="O17" s="243" t="str">
        <f>B26 &amp; " " &amp; H25</f>
        <v>directly attributable maintenance expenses paid at inception</v>
      </c>
      <c r="P17" s="243"/>
      <c r="Q17" s="243"/>
      <c r="R17" s="243"/>
      <c r="S17" s="243"/>
      <c r="T17" s="243"/>
      <c r="U17" s="299"/>
      <c r="V17" s="299" t="s">
        <v>521</v>
      </c>
      <c r="W17" s="431">
        <f>G26</f>
        <v>80</v>
      </c>
      <c r="X17" s="243"/>
      <c r="Y17" s="243"/>
    </row>
    <row r="18" spans="1:25" ht="15" customHeight="1">
      <c r="A18" s="31"/>
      <c r="B18" s="459" t="s">
        <v>928</v>
      </c>
      <c r="C18" s="31"/>
      <c r="D18" s="31"/>
      <c r="E18" s="31"/>
      <c r="F18" s="31"/>
      <c r="G18" s="31"/>
      <c r="H18" s="31"/>
      <c r="I18" s="31"/>
      <c r="J18" s="31"/>
      <c r="K18" s="26"/>
      <c r="L18" s="243"/>
      <c r="M18" s="243"/>
      <c r="N18" s="243"/>
      <c r="O18" s="430" t="s">
        <v>883</v>
      </c>
      <c r="P18" s="243"/>
      <c r="Q18" s="243"/>
      <c r="R18" s="243"/>
      <c r="S18" s="243"/>
      <c r="T18" s="243"/>
      <c r="U18" s="243"/>
      <c r="V18" s="243"/>
      <c r="W18" s="243"/>
      <c r="X18" s="243"/>
      <c r="Y18" s="243"/>
    </row>
    <row r="19" spans="1:25" ht="15" customHeight="1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26"/>
      <c r="L19" s="243"/>
      <c r="M19" s="243"/>
      <c r="N19" s="243"/>
      <c r="O19" s="291" t="s">
        <v>885</v>
      </c>
      <c r="P19" s="50"/>
      <c r="Q19" s="50"/>
      <c r="R19" s="50"/>
      <c r="S19" s="50"/>
      <c r="T19" s="50"/>
      <c r="U19" s="50"/>
      <c r="V19" s="50"/>
      <c r="W19" s="50"/>
      <c r="X19" s="243"/>
      <c r="Y19" s="243"/>
    </row>
    <row r="20" spans="1:25" ht="15" customHeight="1">
      <c r="A20" s="31"/>
      <c r="B20" s="249" t="s">
        <v>870</v>
      </c>
      <c r="C20" s="306"/>
      <c r="D20" s="246">
        <v>2</v>
      </c>
      <c r="E20" s="247" t="s">
        <v>873</v>
      </c>
      <c r="F20" s="229"/>
      <c r="G20" s="229"/>
      <c r="H20" s="229"/>
      <c r="I20" s="229"/>
      <c r="J20" s="229"/>
      <c r="K20" s="26"/>
      <c r="L20" s="243"/>
      <c r="M20" s="243"/>
      <c r="N20" s="243"/>
      <c r="O20" s="50"/>
      <c r="P20" s="50"/>
      <c r="Q20" s="50"/>
      <c r="R20" s="50"/>
      <c r="S20" s="50"/>
      <c r="T20" s="50"/>
      <c r="U20" s="50"/>
      <c r="V20" s="50"/>
      <c r="W20" s="50"/>
      <c r="X20" s="243"/>
      <c r="Y20" s="243"/>
    </row>
    <row r="21" spans="1:25" ht="15" customHeight="1">
      <c r="A21" s="31"/>
      <c r="B21" s="229"/>
      <c r="C21" s="229"/>
      <c r="D21" s="229"/>
      <c r="E21" s="229"/>
      <c r="F21" s="229"/>
      <c r="G21" s="229"/>
      <c r="H21" s="229"/>
      <c r="I21" s="229"/>
      <c r="J21" s="229"/>
      <c r="K21" s="26"/>
      <c r="L21" s="243"/>
      <c r="M21" s="243"/>
      <c r="N21" s="243"/>
      <c r="O21" s="243"/>
      <c r="P21" s="243"/>
      <c r="Q21" s="243"/>
      <c r="R21" s="424"/>
      <c r="S21" s="50"/>
      <c r="T21" s="50"/>
      <c r="U21" s="428" t="s">
        <v>888</v>
      </c>
      <c r="V21" s="299" t="s">
        <v>521</v>
      </c>
      <c r="W21" s="443">
        <f>W15+W17</f>
        <v>200</v>
      </c>
      <c r="X21" s="243"/>
      <c r="Y21" s="243"/>
    </row>
    <row r="22" spans="1:25" ht="15" customHeight="1">
      <c r="A22" s="31"/>
      <c r="B22" s="449" t="s">
        <v>875</v>
      </c>
      <c r="C22" s="229"/>
      <c r="D22" s="229"/>
      <c r="E22" s="229"/>
      <c r="F22" s="229"/>
      <c r="G22" s="229"/>
      <c r="H22" s="229"/>
      <c r="I22" s="229"/>
      <c r="J22" s="229"/>
      <c r="K22" s="26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</row>
    <row r="23" spans="1:25" ht="15" customHeight="1">
      <c r="A23" s="31"/>
      <c r="B23" s="457" t="s">
        <v>922</v>
      </c>
      <c r="C23" s="450"/>
      <c r="D23" s="450"/>
      <c r="E23" s="450"/>
      <c r="F23" s="451"/>
      <c r="G23" s="458" t="s">
        <v>923</v>
      </c>
      <c r="H23" s="458" t="s">
        <v>924</v>
      </c>
      <c r="I23" s="450"/>
      <c r="J23" s="451"/>
      <c r="K23" s="26"/>
      <c r="L23" s="243"/>
      <c r="M23" s="299" t="s">
        <v>891</v>
      </c>
      <c r="N23" s="424" t="s">
        <v>892</v>
      </c>
      <c r="O23" s="243"/>
      <c r="P23" s="243"/>
      <c r="Q23" s="299" t="s">
        <v>521</v>
      </c>
      <c r="R23" s="243" t="s">
        <v>893</v>
      </c>
      <c r="S23" s="243"/>
      <c r="T23" s="299" t="s">
        <v>529</v>
      </c>
      <c r="U23" s="243" t="s">
        <v>874</v>
      </c>
      <c r="V23" s="243"/>
      <c r="W23" s="243"/>
      <c r="X23" s="243"/>
      <c r="Y23" s="243"/>
    </row>
    <row r="24" spans="1:25" ht="15" customHeight="1">
      <c r="A24" s="31"/>
      <c r="B24" s="249" t="s">
        <v>877</v>
      </c>
      <c r="C24" s="250"/>
      <c r="D24" s="250"/>
      <c r="E24" s="250"/>
      <c r="F24" s="306"/>
      <c r="G24" s="452">
        <v>2000</v>
      </c>
      <c r="H24" s="250" t="s">
        <v>878</v>
      </c>
      <c r="I24" s="250"/>
      <c r="J24" s="306"/>
      <c r="K24" s="26"/>
      <c r="L24" s="243"/>
      <c r="M24" s="243"/>
      <c r="N24" s="243"/>
      <c r="O24" s="243"/>
      <c r="P24" s="243"/>
      <c r="Q24" s="299" t="s">
        <v>521</v>
      </c>
      <c r="R24" s="444">
        <f>S11</f>
        <v>1000</v>
      </c>
      <c r="S24" s="243"/>
      <c r="T24" s="299" t="s">
        <v>529</v>
      </c>
      <c r="U24" s="445">
        <f>W21</f>
        <v>200</v>
      </c>
      <c r="V24" s="243"/>
      <c r="W24" s="243"/>
      <c r="X24" s="243"/>
      <c r="Y24" s="243"/>
    </row>
    <row r="25" spans="1:25" ht="15" customHeight="1">
      <c r="A25" s="31"/>
      <c r="B25" s="255" t="s">
        <v>879</v>
      </c>
      <c r="C25" s="256"/>
      <c r="D25" s="256"/>
      <c r="E25" s="256"/>
      <c r="F25" s="343"/>
      <c r="G25" s="453">
        <v>240</v>
      </c>
      <c r="H25" s="256" t="s">
        <v>880</v>
      </c>
      <c r="I25" s="256"/>
      <c r="J25" s="343"/>
      <c r="K25" s="26"/>
      <c r="L25" s="243"/>
      <c r="M25" s="243"/>
      <c r="N25" s="243"/>
      <c r="O25" s="243"/>
      <c r="P25" s="243"/>
      <c r="Q25" s="299" t="s">
        <v>521</v>
      </c>
      <c r="R25" s="432">
        <f>R24-U24</f>
        <v>800</v>
      </c>
      <c r="S25" s="433" t="s">
        <v>896</v>
      </c>
      <c r="T25" s="243"/>
      <c r="U25" s="243"/>
      <c r="V25" s="243"/>
      <c r="W25" s="243"/>
      <c r="X25" s="243"/>
      <c r="Y25" s="243"/>
    </row>
    <row r="26" spans="1:25" ht="15" customHeight="1">
      <c r="A26" s="31"/>
      <c r="B26" s="239" t="s">
        <v>881</v>
      </c>
      <c r="C26" s="240"/>
      <c r="D26" s="240"/>
      <c r="E26" s="240"/>
      <c r="F26" s="355"/>
      <c r="G26" s="454">
        <v>80</v>
      </c>
      <c r="H26" s="240" t="s">
        <v>882</v>
      </c>
      <c r="I26" s="240"/>
      <c r="J26" s="355"/>
      <c r="K26" s="26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</row>
    <row r="27" spans="1:25" ht="15" customHeight="1">
      <c r="A27" s="31"/>
      <c r="B27" s="255" t="s">
        <v>884</v>
      </c>
      <c r="C27" s="256"/>
      <c r="D27" s="256"/>
      <c r="E27" s="256"/>
      <c r="F27" s="343"/>
      <c r="G27" s="453">
        <v>30</v>
      </c>
      <c r="H27" s="256" t="s">
        <v>880</v>
      </c>
      <c r="I27" s="256"/>
      <c r="J27" s="343"/>
      <c r="K27" s="26"/>
      <c r="L27" s="243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 ht="15" customHeight="1">
      <c r="A28" s="31"/>
      <c r="B28" s="239" t="s">
        <v>886</v>
      </c>
      <c r="C28" s="240"/>
      <c r="D28" s="240"/>
      <c r="E28" s="240"/>
      <c r="F28" s="355"/>
      <c r="G28" s="454">
        <v>40</v>
      </c>
      <c r="H28" s="455">
        <v>20</v>
      </c>
      <c r="I28" s="240" t="s">
        <v>887</v>
      </c>
      <c r="J28" s="355"/>
      <c r="K28" s="26"/>
      <c r="L28" s="243"/>
      <c r="M28" s="420" t="s">
        <v>3</v>
      </c>
      <c r="N28" s="424" t="s">
        <v>898</v>
      </c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</row>
    <row r="29" spans="1:25" ht="15" customHeight="1">
      <c r="A29" s="31"/>
      <c r="B29" s="229"/>
      <c r="C29" s="229"/>
      <c r="D29" s="229"/>
      <c r="E29" s="229"/>
      <c r="F29" s="229"/>
      <c r="G29" s="229"/>
      <c r="H29" s="229"/>
      <c r="I29" s="229"/>
      <c r="J29" s="229"/>
      <c r="K29" s="26"/>
      <c r="L29" s="243"/>
      <c r="M29" s="243"/>
      <c r="N29" s="243"/>
      <c r="O29" s="243" t="str">
        <f>B27</f>
        <v>NON-DIRECTLY attributable acquisition expenses</v>
      </c>
      <c r="P29" s="243"/>
      <c r="Q29" s="243"/>
      <c r="R29" s="243"/>
      <c r="S29" s="243"/>
      <c r="T29" s="50"/>
      <c r="U29" s="50"/>
      <c r="V29" s="299" t="s">
        <v>521</v>
      </c>
      <c r="W29" s="431">
        <f>G27</f>
        <v>30</v>
      </c>
      <c r="X29" s="243"/>
      <c r="Y29" s="243"/>
    </row>
    <row r="30" spans="1:25" ht="15" customHeight="1">
      <c r="A30" s="31"/>
      <c r="B30" s="449" t="s">
        <v>889</v>
      </c>
      <c r="C30" s="229"/>
      <c r="D30" s="229"/>
      <c r="E30" s="229"/>
      <c r="F30" s="229"/>
      <c r="G30" s="229"/>
      <c r="H30" s="229"/>
      <c r="I30" s="229"/>
      <c r="J30" s="229"/>
      <c r="K30" s="26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</row>
    <row r="31" spans="1:25" ht="15" customHeight="1">
      <c r="A31" s="31"/>
      <c r="B31" s="249" t="s">
        <v>890</v>
      </c>
      <c r="C31" s="250"/>
      <c r="D31" s="250"/>
      <c r="E31" s="250"/>
      <c r="F31" s="250"/>
      <c r="G31" s="250"/>
      <c r="H31" s="250"/>
      <c r="I31" s="250"/>
      <c r="J31" s="306"/>
      <c r="K31" s="26"/>
      <c r="L31" s="243"/>
      <c r="M31" s="243"/>
      <c r="N31" s="243"/>
      <c r="O31" s="243" t="str">
        <f>B28 &amp; " amortized over " &amp; D20 &amp; " years"</f>
        <v>NON-DIRECTLY attributable maintenance expenses amortized over 2 years</v>
      </c>
      <c r="P31" s="243"/>
      <c r="Q31" s="243"/>
      <c r="R31" s="243"/>
      <c r="S31" s="243"/>
      <c r="T31" s="243"/>
      <c r="U31" s="243"/>
      <c r="V31" s="299" t="s">
        <v>521</v>
      </c>
      <c r="W31" s="429">
        <f>G28</f>
        <v>40</v>
      </c>
      <c r="X31" s="395" t="s">
        <v>705</v>
      </c>
      <c r="Y31" s="299">
        <f>D20</f>
        <v>2</v>
      </c>
    </row>
    <row r="32" spans="1:25" ht="15" customHeight="1">
      <c r="A32" s="31"/>
      <c r="B32" s="239" t="s">
        <v>894</v>
      </c>
      <c r="C32" s="240"/>
      <c r="D32" s="240"/>
      <c r="E32" s="240"/>
      <c r="F32" s="240"/>
      <c r="G32" s="240"/>
      <c r="H32" s="240"/>
      <c r="I32" s="240"/>
      <c r="J32" s="355"/>
      <c r="K32" s="26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99" t="s">
        <v>521</v>
      </c>
      <c r="W32" s="431">
        <f>W31/Y31</f>
        <v>20</v>
      </c>
      <c r="X32" s="243"/>
      <c r="Y32" s="243"/>
    </row>
    <row r="33" spans="1:25" ht="15" customHeight="1">
      <c r="A33" s="31"/>
      <c r="B33" s="239" t="s">
        <v>895</v>
      </c>
      <c r="C33" s="240"/>
      <c r="D33" s="240"/>
      <c r="E33" s="240"/>
      <c r="F33" s="240"/>
      <c r="G33" s="240"/>
      <c r="H33" s="240"/>
      <c r="I33" s="228">
        <v>2</v>
      </c>
      <c r="J33" s="227" t="s">
        <v>873</v>
      </c>
      <c r="K33" s="26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</row>
    <row r="34" spans="1:25" ht="15" customHeight="1">
      <c r="A34" s="31"/>
      <c r="B34" s="239" t="s">
        <v>897</v>
      </c>
      <c r="C34" s="240"/>
      <c r="D34" s="240"/>
      <c r="E34" s="240"/>
      <c r="F34" s="240"/>
      <c r="G34" s="240"/>
      <c r="H34" s="240"/>
      <c r="I34" s="240"/>
      <c r="J34" s="355"/>
      <c r="K34" s="26"/>
      <c r="L34" s="243"/>
      <c r="M34" s="243"/>
      <c r="N34" s="243"/>
      <c r="O34" s="243"/>
      <c r="P34" s="243"/>
      <c r="Q34" s="243"/>
      <c r="R34" s="243"/>
      <c r="S34" s="243"/>
      <c r="T34" s="243"/>
      <c r="U34" s="428" t="s">
        <v>899</v>
      </c>
      <c r="V34" s="299" t="s">
        <v>521</v>
      </c>
      <c r="W34" s="443">
        <f>W29+W32</f>
        <v>50</v>
      </c>
      <c r="X34" s="243"/>
      <c r="Y34" s="243"/>
    </row>
    <row r="35" spans="1:25" ht="15" customHeight="1">
      <c r="A35" s="31"/>
      <c r="B35" s="229"/>
      <c r="C35" s="229"/>
      <c r="D35" s="229"/>
      <c r="E35" s="229"/>
      <c r="F35" s="229"/>
      <c r="G35" s="229"/>
      <c r="H35" s="229"/>
      <c r="I35" s="229"/>
      <c r="J35" s="229"/>
      <c r="K35" s="26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</row>
    <row r="36" spans="1:25" ht="15" customHeight="1">
      <c r="A36" s="25"/>
      <c r="B36" s="229"/>
      <c r="C36" s="229"/>
      <c r="D36" s="229"/>
      <c r="E36" s="229"/>
      <c r="F36" s="229"/>
      <c r="G36" s="229"/>
      <c r="H36" s="229"/>
      <c r="I36" s="229"/>
      <c r="J36" s="229"/>
      <c r="K36" s="26"/>
      <c r="L36" s="243"/>
      <c r="M36" s="299" t="s">
        <v>900</v>
      </c>
      <c r="N36" s="424" t="s">
        <v>901</v>
      </c>
      <c r="O36" s="243"/>
      <c r="P36" s="50"/>
      <c r="Q36" s="50"/>
      <c r="R36" s="50"/>
      <c r="S36" s="50"/>
      <c r="T36" s="50"/>
      <c r="U36" s="50"/>
      <c r="V36" s="50"/>
      <c r="W36" s="50"/>
      <c r="X36" s="243"/>
      <c r="Y36" s="243"/>
    </row>
    <row r="37" spans="1:25" ht="15" customHeight="1" thickBot="1">
      <c r="A37" s="27"/>
      <c r="B37" s="456"/>
      <c r="C37" s="456"/>
      <c r="D37" s="456"/>
      <c r="E37" s="456"/>
      <c r="F37" s="456"/>
      <c r="G37" s="456"/>
      <c r="H37" s="456"/>
      <c r="I37" s="456"/>
      <c r="J37" s="456"/>
      <c r="K37" s="28"/>
      <c r="L37" s="243"/>
      <c r="M37" s="243"/>
      <c r="N37" s="299" t="s">
        <v>521</v>
      </c>
      <c r="O37" s="243" t="s">
        <v>892</v>
      </c>
      <c r="P37" s="243"/>
      <c r="Q37" s="243"/>
      <c r="R37" s="299" t="s">
        <v>902</v>
      </c>
      <c r="S37" s="426" t="s">
        <v>899</v>
      </c>
      <c r="T37" s="243"/>
      <c r="U37" s="50"/>
      <c r="V37" s="243"/>
      <c r="W37" s="243"/>
      <c r="X37" s="243"/>
      <c r="Y37" s="243"/>
    </row>
    <row r="38" spans="1:25" ht="15" customHeight="1">
      <c r="A38"/>
      <c r="B38"/>
      <c r="C38"/>
      <c r="D38"/>
      <c r="E38"/>
      <c r="F38"/>
      <c r="G38"/>
      <c r="H38"/>
      <c r="I38"/>
      <c r="J38"/>
      <c r="K38"/>
      <c r="L38" s="243"/>
      <c r="M38" s="243"/>
      <c r="N38" s="299" t="s">
        <v>521</v>
      </c>
      <c r="O38" s="434">
        <f>R25</f>
        <v>800</v>
      </c>
      <c r="P38" s="243"/>
      <c r="Q38" s="243"/>
      <c r="R38" s="299" t="s">
        <v>902</v>
      </c>
      <c r="S38" s="445">
        <f>W34</f>
        <v>50</v>
      </c>
      <c r="T38" s="243"/>
      <c r="U38" s="50"/>
      <c r="V38" s="243"/>
      <c r="W38" s="243"/>
      <c r="X38" s="243"/>
      <c r="Y38" s="243"/>
    </row>
    <row r="39" spans="1:25" ht="15" customHeight="1">
      <c r="A39"/>
      <c r="B39"/>
      <c r="C39"/>
      <c r="D39"/>
      <c r="E39"/>
      <c r="F39"/>
      <c r="G39"/>
      <c r="H39"/>
      <c r="I39"/>
      <c r="J39"/>
      <c r="K39"/>
      <c r="L39" s="243"/>
      <c r="M39" s="243"/>
      <c r="N39" s="299" t="s">
        <v>521</v>
      </c>
      <c r="O39" s="446">
        <f>O38-S38</f>
        <v>750</v>
      </c>
      <c r="P39" s="433" t="s">
        <v>903</v>
      </c>
      <c r="Q39" s="243"/>
      <c r="R39" s="243"/>
      <c r="S39" s="243"/>
      <c r="T39" s="243"/>
      <c r="U39" s="243"/>
      <c r="V39" s="243"/>
      <c r="W39" s="243"/>
      <c r="X39" s="243"/>
      <c r="Y39" s="243"/>
    </row>
    <row r="40" spans="1:25" ht="15" customHeight="1">
      <c r="A40"/>
      <c r="B40"/>
      <c r="C40"/>
      <c r="D40"/>
      <c r="E40"/>
      <c r="F40"/>
      <c r="G40"/>
      <c r="H40"/>
      <c r="I40"/>
      <c r="J40"/>
      <c r="K40"/>
      <c r="L40" s="243"/>
      <c r="M40" s="243"/>
      <c r="N40" s="50"/>
      <c r="O40" s="50"/>
      <c r="P40" s="50"/>
      <c r="Q40" s="50"/>
      <c r="R40" s="50"/>
      <c r="S40" s="50"/>
      <c r="T40" s="50"/>
      <c r="U40" s="50"/>
      <c r="V40" s="243"/>
      <c r="W40" s="243"/>
      <c r="X40" s="243"/>
      <c r="Y40" s="243"/>
    </row>
    <row r="41" spans="1:25" ht="15" customHeight="1">
      <c r="A41"/>
      <c r="B41"/>
      <c r="C41"/>
      <c r="D41"/>
      <c r="E41"/>
      <c r="F41"/>
      <c r="G41"/>
      <c r="H41"/>
      <c r="I41"/>
      <c r="J41"/>
      <c r="K41"/>
      <c r="L41" s="50"/>
      <c r="M41" s="50"/>
      <c r="N41" s="243"/>
      <c r="O41" s="243"/>
      <c r="P41" s="243"/>
      <c r="Q41" s="243"/>
      <c r="R41" s="243"/>
      <c r="S41" s="243"/>
      <c r="T41" s="243"/>
      <c r="U41" s="243"/>
      <c r="V41" s="243"/>
      <c r="W41" s="243"/>
      <c r="X41" s="243"/>
      <c r="Y41" s="243"/>
    </row>
    <row r="42" spans="1:25" ht="15" customHeight="1">
      <c r="A42"/>
      <c r="B42"/>
      <c r="C42"/>
      <c r="D42"/>
      <c r="E42"/>
      <c r="F42"/>
      <c r="G42"/>
      <c r="H42"/>
      <c r="I42"/>
      <c r="J42"/>
      <c r="K42"/>
      <c r="L42" s="50"/>
      <c r="M42" s="420" t="s">
        <v>4</v>
      </c>
      <c r="N42" s="299" t="s">
        <v>904</v>
      </c>
      <c r="O42" s="436" t="s">
        <v>524</v>
      </c>
      <c r="P42" s="435" t="s">
        <v>905</v>
      </c>
      <c r="Q42" s="243"/>
      <c r="R42" s="243"/>
      <c r="S42" s="243"/>
      <c r="T42" s="243"/>
      <c r="U42" s="243"/>
      <c r="V42" s="243"/>
      <c r="W42" s="243"/>
      <c r="X42" s="243"/>
      <c r="Y42" s="243"/>
    </row>
    <row r="43" spans="1:25" ht="15" customHeight="1">
      <c r="A43"/>
      <c r="B43"/>
      <c r="C43"/>
      <c r="D43"/>
      <c r="E43"/>
      <c r="F43"/>
      <c r="G43"/>
      <c r="H43"/>
      <c r="I43"/>
      <c r="J43"/>
      <c r="K43"/>
      <c r="L43" s="50"/>
      <c r="M43" s="243"/>
      <c r="N43" s="299"/>
      <c r="O43" s="436" t="s">
        <v>524</v>
      </c>
      <c r="P43" s="435" t="s">
        <v>906</v>
      </c>
      <c r="Q43" s="243"/>
      <c r="R43" s="243"/>
      <c r="S43" s="243"/>
      <c r="T43" s="243"/>
      <c r="U43" s="243"/>
      <c r="V43" s="243"/>
      <c r="W43" s="243"/>
      <c r="X43" s="243"/>
      <c r="Y43" s="243"/>
    </row>
    <row r="44" spans="1:25" ht="15" customHeight="1">
      <c r="A44"/>
      <c r="B44"/>
      <c r="C44"/>
      <c r="D44"/>
      <c r="E44"/>
      <c r="F44"/>
      <c r="G44"/>
      <c r="H44"/>
      <c r="I44"/>
      <c r="J44"/>
      <c r="K44"/>
      <c r="L44" s="50"/>
      <c r="M44" s="243"/>
      <c r="N44" s="299"/>
      <c r="O44" s="396" t="s">
        <v>529</v>
      </c>
      <c r="P44" s="244" t="s">
        <v>907</v>
      </c>
      <c r="Q44" s="243"/>
      <c r="R44" s="243"/>
      <c r="S44" s="243"/>
      <c r="T44" s="243"/>
      <c r="U44" s="243"/>
      <c r="V44" s="243"/>
      <c r="W44" s="243"/>
      <c r="X44" s="243"/>
      <c r="Y44" s="243"/>
    </row>
    <row r="45" spans="1:25" ht="15" customHeight="1">
      <c r="L45" s="50"/>
      <c r="M45" s="243"/>
      <c r="N45" s="243"/>
      <c r="O45" s="436" t="s">
        <v>524</v>
      </c>
      <c r="P45" s="435" t="s">
        <v>908</v>
      </c>
      <c r="Q45" s="243"/>
      <c r="R45" s="243"/>
      <c r="S45" s="243"/>
      <c r="T45" s="243"/>
      <c r="U45" s="243"/>
      <c r="V45" s="243"/>
      <c r="W45" s="243"/>
      <c r="X45" s="243"/>
      <c r="Y45" s="243"/>
    </row>
    <row r="46" spans="1:25" ht="15" customHeight="1"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243"/>
      <c r="N46" s="243"/>
      <c r="O46" s="436" t="s">
        <v>524</v>
      </c>
      <c r="P46" s="435" t="s">
        <v>909</v>
      </c>
      <c r="Q46" s="243"/>
      <c r="R46" s="243"/>
      <c r="S46" s="243"/>
      <c r="T46" s="243"/>
      <c r="U46" s="243"/>
      <c r="V46" s="243"/>
      <c r="W46" s="243"/>
      <c r="X46" s="243"/>
      <c r="Y46" s="243"/>
    </row>
    <row r="47" spans="1:25" ht="15" customHeight="1"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243"/>
      <c r="N47" s="243"/>
      <c r="O47" s="396" t="s">
        <v>529</v>
      </c>
      <c r="P47" s="244" t="s">
        <v>910</v>
      </c>
      <c r="Q47" s="243"/>
      <c r="R47" s="243"/>
      <c r="S47" s="243"/>
      <c r="T47" s="243"/>
      <c r="U47" s="243"/>
      <c r="V47" s="243"/>
      <c r="W47" s="243"/>
      <c r="X47" s="243"/>
      <c r="Y47" s="243"/>
    </row>
    <row r="48" spans="1:25" ht="15" customHeight="1"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243"/>
      <c r="N48" s="243"/>
      <c r="O48" s="396" t="s">
        <v>529</v>
      </c>
      <c r="P48" s="244" t="s">
        <v>911</v>
      </c>
      <c r="Q48" s="243"/>
      <c r="R48" s="243"/>
      <c r="S48" s="243"/>
      <c r="T48" s="243"/>
      <c r="U48" s="243"/>
      <c r="V48" s="243"/>
      <c r="W48" s="243"/>
      <c r="X48" s="243"/>
      <c r="Y48" s="243"/>
    </row>
    <row r="49" spans="2:25" ht="15" customHeight="1"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</row>
    <row r="50" spans="2:25" ht="15" customHeight="1"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243"/>
      <c r="N50" s="299" t="s">
        <v>904</v>
      </c>
      <c r="O50" s="436" t="s">
        <v>524</v>
      </c>
      <c r="P50" s="437">
        <v>0</v>
      </c>
      <c r="Q50" s="299" t="s">
        <v>912</v>
      </c>
      <c r="R50" s="438" t="s">
        <v>913</v>
      </c>
      <c r="S50" s="243"/>
      <c r="T50" s="243"/>
      <c r="U50" s="243"/>
      <c r="V50" s="243"/>
      <c r="W50" s="243"/>
      <c r="X50" s="243"/>
      <c r="Y50" s="243"/>
    </row>
    <row r="51" spans="2:25" ht="15" customHeight="1"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243"/>
      <c r="N51" s="243"/>
      <c r="O51" s="436" t="s">
        <v>524</v>
      </c>
      <c r="P51" s="437">
        <f>G24</f>
        <v>2000</v>
      </c>
      <c r="Q51" s="299" t="s">
        <v>912</v>
      </c>
      <c r="R51" s="438" t="s">
        <v>914</v>
      </c>
      <c r="S51" s="243"/>
      <c r="T51" s="243"/>
      <c r="U51" s="243"/>
      <c r="V51" s="243"/>
      <c r="W51" s="243"/>
      <c r="X51" s="243"/>
      <c r="Y51" s="243"/>
    </row>
    <row r="52" spans="2:25" ht="15" customHeight="1"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243"/>
      <c r="N52" s="243"/>
      <c r="O52" s="396" t="s">
        <v>529</v>
      </c>
      <c r="P52" s="439">
        <f>G25</f>
        <v>240</v>
      </c>
      <c r="Q52" s="299" t="s">
        <v>912</v>
      </c>
      <c r="R52" s="433" t="s">
        <v>915</v>
      </c>
      <c r="S52" s="243"/>
      <c r="T52" s="243"/>
      <c r="U52" s="243"/>
      <c r="V52" s="243"/>
      <c r="W52" s="243"/>
      <c r="X52" s="243"/>
      <c r="Y52" s="243"/>
    </row>
    <row r="53" spans="2:25" ht="15" customHeight="1"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243"/>
      <c r="N53" s="243"/>
      <c r="O53" s="436" t="s">
        <v>524</v>
      </c>
      <c r="P53" s="437">
        <f>W15</f>
        <v>120</v>
      </c>
      <c r="Q53" s="299" t="s">
        <v>912</v>
      </c>
      <c r="R53" s="438" t="s">
        <v>916</v>
      </c>
      <c r="S53" s="243"/>
      <c r="T53" s="243"/>
      <c r="U53" s="243"/>
      <c r="V53" s="243"/>
      <c r="W53" s="243"/>
      <c r="X53" s="243"/>
      <c r="Y53" s="243"/>
    </row>
    <row r="54" spans="2:25" ht="15" customHeight="1"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243"/>
      <c r="N54" s="243"/>
      <c r="O54" s="436" t="s">
        <v>524</v>
      </c>
      <c r="P54" s="437">
        <v>0</v>
      </c>
      <c r="Q54" s="299" t="s">
        <v>912</v>
      </c>
      <c r="R54" s="438" t="s">
        <v>917</v>
      </c>
      <c r="S54" s="243"/>
      <c r="T54" s="243"/>
      <c r="U54" s="243"/>
      <c r="V54" s="243"/>
      <c r="W54" s="243"/>
      <c r="X54" s="243"/>
      <c r="Y54" s="243"/>
    </row>
    <row r="55" spans="2:25" ht="15" customHeight="1"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243"/>
      <c r="N55" s="243"/>
      <c r="O55" s="396" t="s">
        <v>529</v>
      </c>
      <c r="P55" s="439">
        <f>S11</f>
        <v>1000</v>
      </c>
      <c r="Q55" s="299" t="s">
        <v>912</v>
      </c>
      <c r="R55" s="433" t="s">
        <v>918</v>
      </c>
      <c r="S55" s="243"/>
      <c r="T55" s="243"/>
      <c r="U55" s="243"/>
      <c r="V55" s="243"/>
      <c r="W55" s="243"/>
      <c r="X55" s="243"/>
      <c r="Y55" s="243"/>
    </row>
    <row r="56" spans="2:25" ht="15" customHeight="1"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243"/>
      <c r="N56" s="243"/>
      <c r="O56" s="396" t="s">
        <v>529</v>
      </c>
      <c r="P56" s="439">
        <v>0</v>
      </c>
      <c r="Q56" s="299" t="s">
        <v>912</v>
      </c>
      <c r="R56" s="433" t="s">
        <v>919</v>
      </c>
      <c r="S56" s="243"/>
      <c r="T56" s="243"/>
      <c r="U56" s="243"/>
      <c r="V56" s="243"/>
      <c r="W56" s="243"/>
      <c r="X56" s="243"/>
      <c r="Y56" s="243"/>
    </row>
    <row r="57" spans="2:25" ht="15" customHeight="1"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</row>
    <row r="58" spans="2:25" ht="15" customHeight="1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243"/>
      <c r="N58" s="447" t="s">
        <v>904</v>
      </c>
      <c r="O58" s="448">
        <f>P50+P51-P52+P53+P54-P55-P56</f>
        <v>880</v>
      </c>
      <c r="P58" s="433" t="s">
        <v>920</v>
      </c>
      <c r="Q58" s="243"/>
      <c r="R58" s="243"/>
      <c r="S58" s="243"/>
      <c r="T58" s="243"/>
      <c r="U58" s="243"/>
      <c r="V58" s="243"/>
      <c r="W58" s="243"/>
      <c r="X58" s="243"/>
      <c r="Y58" s="243"/>
    </row>
    <row r="59" spans="2:25" ht="15" customHeight="1">
      <c r="K59" s="440"/>
      <c r="L59" s="440"/>
      <c r="M59" s="440"/>
      <c r="N59" s="34"/>
      <c r="O59" s="34"/>
      <c r="P59" s="34"/>
      <c r="Q59" s="34"/>
    </row>
    <row r="60" spans="2:25" ht="15" customHeight="1">
      <c r="K60" s="440"/>
      <c r="L60" s="440"/>
      <c r="M60" s="440"/>
      <c r="N60" s="34"/>
      <c r="O60" s="34"/>
      <c r="P60" s="34"/>
      <c r="Q60" s="34"/>
    </row>
    <row r="61" spans="2:25" ht="15" customHeight="1">
      <c r="K61" s="440"/>
      <c r="L61" s="440"/>
      <c r="M61" s="440"/>
      <c r="N61" s="34"/>
      <c r="O61" s="34"/>
      <c r="P61" s="34"/>
      <c r="Q61" s="34"/>
    </row>
    <row r="62" spans="2:25" ht="15" customHeight="1">
      <c r="K62" s="440"/>
      <c r="L62" s="440"/>
      <c r="M62" s="440"/>
      <c r="N62" s="34"/>
      <c r="O62" s="34"/>
      <c r="P62" s="34"/>
      <c r="Q62" s="34"/>
    </row>
    <row r="63" spans="2:25" ht="15" customHeight="1">
      <c r="K63" s="440"/>
      <c r="L63" s="440"/>
      <c r="M63" s="440"/>
      <c r="N63" s="34"/>
      <c r="O63" s="34"/>
      <c r="P63" s="34"/>
      <c r="Q63" s="34"/>
    </row>
    <row r="64" spans="2:25" ht="15" customHeight="1">
      <c r="K64" s="440"/>
      <c r="L64" s="440"/>
      <c r="M64" s="440"/>
      <c r="N64" s="34"/>
      <c r="O64" s="34"/>
      <c r="P64" s="34"/>
      <c r="Q64" s="34"/>
    </row>
    <row r="65" spans="11:17" ht="15" customHeight="1">
      <c r="K65" s="440"/>
      <c r="L65" s="440"/>
      <c r="M65" s="440"/>
      <c r="N65" s="34"/>
      <c r="O65" s="34"/>
      <c r="P65" s="34"/>
      <c r="Q65" s="34"/>
    </row>
    <row r="66" spans="11:17" ht="15" customHeight="1">
      <c r="K66" s="440"/>
      <c r="L66" s="440"/>
      <c r="M66" s="440"/>
      <c r="N66" s="34"/>
      <c r="O66" s="34"/>
      <c r="P66" s="34"/>
      <c r="Q66" s="34"/>
    </row>
    <row r="67" spans="11:17" ht="15" customHeight="1">
      <c r="K67" s="440"/>
      <c r="L67" s="440"/>
      <c r="M67" s="440"/>
      <c r="N67" s="34"/>
      <c r="O67" s="34"/>
      <c r="P67" s="34"/>
      <c r="Q67" s="34"/>
    </row>
    <row r="68" spans="11:17" ht="15" customHeight="1">
      <c r="K68" s="440"/>
      <c r="L68" s="440"/>
      <c r="M68" s="440"/>
      <c r="N68" s="34"/>
      <c r="O68" s="34"/>
      <c r="P68" s="34"/>
      <c r="Q68" s="34"/>
    </row>
    <row r="69" spans="11:17" ht="15" customHeight="1">
      <c r="K69" s="440"/>
      <c r="L69" s="440"/>
      <c r="M69" s="440"/>
      <c r="N69" s="34"/>
      <c r="O69" s="34"/>
      <c r="P69" s="34"/>
      <c r="Q69" s="34"/>
    </row>
    <row r="70" spans="11:17" ht="15" customHeight="1">
      <c r="K70" s="440"/>
      <c r="L70" s="440"/>
      <c r="M70" s="440"/>
      <c r="N70" s="34"/>
      <c r="O70" s="34"/>
      <c r="P70" s="34"/>
      <c r="Q70" s="34"/>
    </row>
    <row r="71" spans="11:17" ht="15" customHeight="1">
      <c r="K71" s="440"/>
      <c r="L71" s="440"/>
      <c r="M71" s="440"/>
      <c r="N71" s="34"/>
      <c r="O71" s="34"/>
      <c r="P71" s="34"/>
      <c r="Q71" s="34"/>
    </row>
    <row r="72" spans="11:17" ht="15" customHeight="1">
      <c r="K72" s="440"/>
      <c r="L72" s="440"/>
      <c r="M72" s="440"/>
      <c r="N72" s="34"/>
      <c r="O72" s="34"/>
      <c r="P72" s="34"/>
      <c r="Q72" s="34"/>
    </row>
    <row r="73" spans="11:17" ht="15" customHeight="1">
      <c r="K73" s="440"/>
      <c r="L73" s="440"/>
      <c r="M73" s="440"/>
      <c r="N73" s="34"/>
      <c r="O73" s="34"/>
      <c r="P73" s="34"/>
      <c r="Q73" s="34"/>
    </row>
    <row r="74" spans="11:17" ht="15" customHeight="1">
      <c r="K74" s="440"/>
      <c r="L74" s="440"/>
      <c r="M74" s="440"/>
      <c r="N74" s="34"/>
      <c r="O74" s="34"/>
      <c r="P74" s="34"/>
      <c r="Q74" s="34"/>
    </row>
    <row r="75" spans="11:17" ht="15" customHeight="1">
      <c r="K75" s="440"/>
      <c r="L75" s="440"/>
      <c r="M75" s="440"/>
      <c r="N75" s="34"/>
      <c r="O75" s="34"/>
      <c r="P75" s="34"/>
      <c r="Q75" s="34"/>
    </row>
    <row r="76" spans="11:17" ht="15" customHeight="1">
      <c r="K76" s="440"/>
      <c r="L76" s="440"/>
      <c r="M76" s="440"/>
      <c r="N76" s="34"/>
      <c r="O76" s="34"/>
      <c r="P76" s="34"/>
      <c r="Q76" s="34"/>
    </row>
    <row r="77" spans="11:17" ht="15" customHeight="1">
      <c r="K77" s="440"/>
      <c r="L77" s="440"/>
      <c r="M77" s="440"/>
      <c r="N77" s="34"/>
      <c r="O77" s="34"/>
      <c r="P77" s="34"/>
      <c r="Q77" s="34"/>
    </row>
    <row r="78" spans="11:17" ht="15" customHeight="1">
      <c r="K78" s="440"/>
      <c r="L78" s="440"/>
      <c r="M78" s="440"/>
      <c r="N78" s="34"/>
      <c r="O78" s="34"/>
      <c r="P78" s="34"/>
      <c r="Q78" s="34"/>
    </row>
    <row r="79" spans="11:17" ht="15" customHeight="1">
      <c r="K79" s="440"/>
      <c r="L79" s="440"/>
      <c r="M79" s="440"/>
      <c r="N79" s="34"/>
      <c r="O79" s="34"/>
      <c r="P79" s="34"/>
      <c r="Q79" s="34"/>
    </row>
    <row r="80" spans="11:17" ht="15" customHeight="1">
      <c r="K80" s="440"/>
      <c r="L80" s="440"/>
      <c r="M80" s="440"/>
      <c r="N80" s="34"/>
      <c r="O80" s="34"/>
      <c r="P80" s="34"/>
      <c r="Q80" s="34"/>
    </row>
    <row r="81" spans="11:17" ht="15" customHeight="1">
      <c r="K81" s="440"/>
      <c r="L81" s="440"/>
      <c r="M81" s="440"/>
      <c r="N81" s="34"/>
      <c r="O81" s="34"/>
      <c r="P81" s="34"/>
      <c r="Q81" s="34"/>
    </row>
    <row r="82" spans="11:17" ht="15" customHeight="1">
      <c r="K82" s="440"/>
      <c r="L82" s="440"/>
      <c r="M82" s="440"/>
      <c r="N82" s="34"/>
      <c r="O82" s="34"/>
      <c r="P82" s="34"/>
      <c r="Q82" s="34"/>
    </row>
    <row r="83" spans="11:17" ht="15" customHeight="1">
      <c r="K83" s="440"/>
      <c r="L83" s="440"/>
      <c r="M83" s="440"/>
      <c r="N83" s="34"/>
      <c r="O83" s="34"/>
      <c r="P83" s="34"/>
      <c r="Q83" s="34"/>
    </row>
    <row r="84" spans="11:17" ht="15" customHeight="1">
      <c r="K84" s="440"/>
      <c r="L84" s="440"/>
      <c r="M84" s="440"/>
      <c r="N84" s="34"/>
      <c r="O84" s="34"/>
      <c r="P84" s="34"/>
      <c r="Q84" s="34"/>
    </row>
    <row r="85" spans="11:17" ht="15" customHeight="1">
      <c r="K85" s="440"/>
      <c r="L85" s="440"/>
      <c r="M85" s="440"/>
      <c r="N85" s="34"/>
      <c r="O85" s="34"/>
      <c r="P85" s="34"/>
      <c r="Q85" s="34"/>
    </row>
    <row r="86" spans="11:17" ht="15" customHeight="1">
      <c r="K86" s="440"/>
      <c r="L86" s="440"/>
      <c r="M86" s="440"/>
      <c r="N86" s="34"/>
      <c r="O86" s="34"/>
      <c r="P86" s="34"/>
      <c r="Q86" s="34"/>
    </row>
    <row r="87" spans="11:17" ht="15" customHeight="1">
      <c r="K87" s="440"/>
      <c r="L87" s="440"/>
      <c r="M87" s="440"/>
      <c r="N87" s="34"/>
      <c r="O87" s="34"/>
      <c r="P87" s="34"/>
      <c r="Q87" s="34"/>
    </row>
    <row r="88" spans="11:17" ht="15" customHeight="1">
      <c r="K88" s="440"/>
      <c r="L88" s="440"/>
      <c r="M88" s="440"/>
      <c r="N88" s="34"/>
      <c r="O88" s="34"/>
      <c r="P88" s="34"/>
      <c r="Q88" s="34"/>
    </row>
    <row r="89" spans="11:17" ht="15" customHeight="1">
      <c r="K89" s="440"/>
      <c r="L89" s="440"/>
      <c r="M89" s="440"/>
      <c r="N89" s="34"/>
      <c r="O89" s="34"/>
      <c r="P89" s="34"/>
      <c r="Q89" s="34"/>
    </row>
    <row r="90" spans="11:17" ht="15" customHeight="1">
      <c r="K90" s="440"/>
      <c r="L90" s="440"/>
      <c r="M90" s="440"/>
      <c r="N90" s="34"/>
      <c r="O90" s="34"/>
      <c r="P90" s="34"/>
      <c r="Q90" s="34"/>
    </row>
    <row r="91" spans="11:17">
      <c r="K91" s="440"/>
      <c r="L91" s="440"/>
      <c r="M91" s="440"/>
      <c r="N91" s="34"/>
      <c r="O91" s="34"/>
      <c r="P91" s="34"/>
      <c r="Q91" s="34"/>
    </row>
    <row r="92" spans="11:17">
      <c r="K92" s="440"/>
      <c r="L92" s="440"/>
      <c r="M92" s="440"/>
      <c r="N92" s="34"/>
      <c r="O92" s="34"/>
      <c r="P92" s="34"/>
      <c r="Q92" s="34"/>
    </row>
    <row r="93" spans="11:17">
      <c r="K93" s="440"/>
      <c r="L93" s="440"/>
      <c r="M93" s="440"/>
      <c r="N93" s="34"/>
      <c r="O93" s="34"/>
      <c r="P93" s="34"/>
      <c r="Q93" s="34"/>
    </row>
    <row r="94" spans="11:17">
      <c r="K94" s="440"/>
      <c r="L94" s="440"/>
      <c r="M94" s="440"/>
      <c r="N94" s="34"/>
      <c r="O94" s="34"/>
      <c r="P94" s="34"/>
      <c r="Q94" s="34"/>
    </row>
    <row r="95" spans="11:17">
      <c r="K95" s="440"/>
      <c r="L95" s="440"/>
      <c r="M95" s="440"/>
      <c r="N95" s="34"/>
      <c r="O95" s="34"/>
      <c r="P95" s="34"/>
      <c r="Q95" s="34"/>
    </row>
    <row r="96" spans="11:17">
      <c r="K96" s="440"/>
      <c r="L96" s="440"/>
      <c r="M96" s="440"/>
      <c r="N96" s="34"/>
      <c r="O96" s="34"/>
      <c r="P96" s="34"/>
      <c r="Q96" s="34"/>
    </row>
    <row r="97" spans="11:17">
      <c r="K97" s="440"/>
      <c r="L97" s="440"/>
      <c r="M97" s="34"/>
      <c r="N97" s="34"/>
      <c r="O97" s="34"/>
      <c r="P97" s="34"/>
      <c r="Q97" s="34"/>
    </row>
    <row r="98" spans="11:17">
      <c r="K98" s="34"/>
      <c r="L98" s="440"/>
      <c r="M98" s="34"/>
      <c r="N98" s="34"/>
      <c r="O98" s="34"/>
      <c r="P98" s="34"/>
      <c r="Q98" s="34"/>
    </row>
  </sheetData>
  <mergeCells count="1">
    <mergeCell ref="J1:K1"/>
  </mergeCells>
  <conditionalFormatting sqref="B1">
    <cfRule type="cellIs" dxfId="8" priority="1" operator="equal">
      <formula>"Incomplete"</formula>
    </cfRule>
    <cfRule type="cellIs" dxfId="7" priority="2" operator="equal">
      <formula>"Flag for Review"</formula>
    </cfRule>
    <cfRule type="cellIs" dxfId="6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J1" location="'Point Grid'!A8" display="Return to Point Grid"/>
    <hyperlink ref="J1:K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P8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6" width="10.7109375" style="24" customWidth="1"/>
    <col min="7" max="7" width="16.7109375" style="24" customWidth="1"/>
    <col min="8" max="9" width="10.7109375" style="24" customWidth="1"/>
    <col min="10" max="10" width="9.140625" style="24" customWidth="1"/>
    <col min="11" max="16" width="9.140625" style="41"/>
    <col min="17" max="16384" width="9.140625" style="24"/>
  </cols>
  <sheetData>
    <row r="1" spans="1:16" ht="15" customHeight="1">
      <c r="A1" s="7">
        <v>26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  <c r="L1" s="40"/>
      <c r="M1" s="40"/>
    </row>
    <row r="2" spans="1:16" ht="15" customHeight="1">
      <c r="A2" s="25"/>
      <c r="B2" s="22"/>
      <c r="C2" s="22"/>
      <c r="D2" s="22"/>
      <c r="E2" s="22"/>
      <c r="F2" s="22"/>
      <c r="G2" s="22"/>
      <c r="H2" s="22"/>
      <c r="I2" s="26"/>
      <c r="K2" s="54"/>
      <c r="L2"/>
      <c r="M2"/>
      <c r="N2" s="24"/>
      <c r="O2" s="24"/>
      <c r="P2" s="24"/>
    </row>
    <row r="3" spans="1:16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s="54"/>
      <c r="L3"/>
      <c r="M3"/>
      <c r="N3" s="24"/>
      <c r="O3" s="24"/>
      <c r="P3" s="24"/>
    </row>
    <row r="4" spans="1:16" ht="15" customHeight="1">
      <c r="A4" s="9">
        <f>INDEX('Point Grid'!B:B,MATCH($A$1,'Point Grid'!A:A,0))</f>
        <v>1.5</v>
      </c>
      <c r="B4" s="49" t="s">
        <v>963</v>
      </c>
      <c r="C4" s="49"/>
      <c r="D4" s="49"/>
      <c r="E4" s="49"/>
      <c r="F4" s="49"/>
      <c r="G4" s="49"/>
      <c r="H4" s="49"/>
      <c r="I4" s="53"/>
      <c r="K4" s="415" t="s">
        <v>2</v>
      </c>
      <c r="L4" t="s">
        <v>934</v>
      </c>
      <c r="M4"/>
      <c r="N4" s="24"/>
      <c r="O4" s="24"/>
      <c r="P4" s="24"/>
    </row>
    <row r="5" spans="1:16" ht="15" customHeight="1">
      <c r="A5" s="25"/>
      <c r="B5" s="49" t="s">
        <v>935</v>
      </c>
      <c r="C5" s="49"/>
      <c r="D5" s="49"/>
      <c r="E5" s="49"/>
      <c r="F5" s="49"/>
      <c r="G5" s="49"/>
      <c r="H5" s="49"/>
      <c r="I5" s="53"/>
      <c r="K5"/>
      <c r="L5" t="s">
        <v>936</v>
      </c>
      <c r="M5"/>
      <c r="N5" s="24"/>
      <c r="O5" s="24"/>
      <c r="P5" s="24"/>
    </row>
    <row r="6" spans="1:16" ht="15" customHeight="1">
      <c r="A6" s="31"/>
      <c r="B6" s="49"/>
      <c r="C6" s="49"/>
      <c r="D6" s="49"/>
      <c r="E6" s="49"/>
      <c r="F6" s="49"/>
      <c r="G6" s="49"/>
      <c r="H6" s="49"/>
      <c r="I6" s="53"/>
      <c r="K6"/>
      <c r="L6" t="s">
        <v>937</v>
      </c>
      <c r="M6"/>
      <c r="N6" s="24"/>
      <c r="O6" s="24"/>
      <c r="P6" s="24"/>
    </row>
    <row r="7" spans="1:16" ht="15" customHeight="1">
      <c r="A7" s="31"/>
      <c r="B7" s="49" t="s">
        <v>938</v>
      </c>
      <c r="C7" s="49"/>
      <c r="D7" s="49"/>
      <c r="E7" s="49"/>
      <c r="F7" s="49"/>
      <c r="G7" s="49"/>
      <c r="H7" s="49"/>
      <c r="I7" s="53"/>
      <c r="K7"/>
      <c r="L7" t="s">
        <v>939</v>
      </c>
      <c r="M7"/>
      <c r="N7" s="24"/>
      <c r="O7" s="24"/>
      <c r="P7" s="24"/>
    </row>
    <row r="8" spans="1:16" ht="15" customHeight="1">
      <c r="A8" s="31"/>
      <c r="B8" s="49" t="s">
        <v>940</v>
      </c>
      <c r="C8" s="49"/>
      <c r="D8" s="49"/>
      <c r="E8" s="49"/>
      <c r="F8" s="49"/>
      <c r="G8" s="49"/>
      <c r="H8" s="49"/>
      <c r="I8" s="53"/>
      <c r="K8"/>
      <c r="L8"/>
      <c r="M8"/>
      <c r="N8" s="24"/>
      <c r="O8" s="24"/>
      <c r="P8" s="24"/>
    </row>
    <row r="9" spans="1:16" ht="15" customHeight="1">
      <c r="A9" s="31"/>
      <c r="B9" s="49"/>
      <c r="C9" s="49"/>
      <c r="D9" s="49"/>
      <c r="E9" s="49"/>
      <c r="F9" s="49"/>
      <c r="G9" s="49"/>
      <c r="H9" s="49"/>
      <c r="I9" s="53"/>
      <c r="K9"/>
      <c r="L9"/>
      <c r="M9"/>
      <c r="N9" s="24"/>
      <c r="O9" s="24"/>
      <c r="P9" s="24"/>
    </row>
    <row r="10" spans="1:16" ht="15" customHeight="1">
      <c r="A10" s="29" t="s">
        <v>2</v>
      </c>
      <c r="B10" s="49" t="s">
        <v>941</v>
      </c>
      <c r="C10" s="49"/>
      <c r="D10" s="49"/>
      <c r="E10" s="49"/>
      <c r="F10" s="49"/>
      <c r="G10" s="49"/>
      <c r="H10" s="49"/>
      <c r="I10" s="53"/>
      <c r="K10"/>
      <c r="L10"/>
      <c r="M10"/>
      <c r="N10" s="24"/>
      <c r="O10" s="24"/>
      <c r="P10" s="24"/>
    </row>
    <row r="11" spans="1:16" ht="15" customHeight="1" thickBot="1">
      <c r="A11" s="9">
        <f>INDEX('Point Grid'!$C$8:$I$35,MATCH($A$1,'Point Grid'!$A$8:$A$35,0),MATCH(A10,'Point Grid'!$C$7:$I$7,0))</f>
        <v>0.75</v>
      </c>
      <c r="B11" s="49" t="s">
        <v>942</v>
      </c>
      <c r="C11" s="49"/>
      <c r="D11" s="49"/>
      <c r="E11" s="49"/>
      <c r="F11" s="49"/>
      <c r="G11" s="49"/>
      <c r="H11" s="49"/>
      <c r="I11" s="53"/>
      <c r="K11"/>
      <c r="L11"/>
      <c r="M11"/>
      <c r="N11" s="24"/>
      <c r="O11" s="24"/>
      <c r="P11" s="24"/>
    </row>
    <row r="12" spans="1:16" ht="15" customHeight="1" thickBot="1">
      <c r="A12" s="5"/>
      <c r="B12" s="49"/>
      <c r="C12" s="49"/>
      <c r="D12" s="49"/>
      <c r="E12" s="49"/>
      <c r="F12" s="49"/>
      <c r="G12" s="49"/>
      <c r="H12" s="49"/>
      <c r="I12" s="53"/>
      <c r="K12" s="415" t="s">
        <v>3</v>
      </c>
      <c r="L12" t="s">
        <v>943</v>
      </c>
      <c r="M12"/>
      <c r="N12" s="24"/>
      <c r="O12" s="24"/>
      <c r="P12" s="24"/>
    </row>
    <row r="13" spans="1:16" ht="15" customHeight="1">
      <c r="A13" s="31"/>
      <c r="B13" s="49"/>
      <c r="C13" s="49"/>
      <c r="D13" s="49"/>
      <c r="E13" s="49"/>
      <c r="F13" s="49"/>
      <c r="G13" s="49"/>
      <c r="H13" s="49"/>
      <c r="I13" s="53"/>
      <c r="K13"/>
      <c r="L13" t="s">
        <v>944</v>
      </c>
      <c r="M13"/>
      <c r="N13" s="24"/>
      <c r="O13" s="24"/>
      <c r="P13" s="24"/>
    </row>
    <row r="14" spans="1:16" ht="15" customHeight="1">
      <c r="A14" s="29" t="s">
        <v>3</v>
      </c>
      <c r="B14" s="49" t="s">
        <v>945</v>
      </c>
      <c r="C14" s="49"/>
      <c r="D14" s="49"/>
      <c r="E14" s="49"/>
      <c r="F14" s="49"/>
      <c r="G14" s="49"/>
      <c r="H14" s="49"/>
      <c r="I14" s="53"/>
      <c r="K14"/>
      <c r="L14"/>
      <c r="M14"/>
      <c r="N14" s="24"/>
      <c r="O14" s="24"/>
      <c r="P14" s="24"/>
    </row>
    <row r="15" spans="1:16" ht="15" customHeight="1" thickBot="1">
      <c r="A15" s="9">
        <f>INDEX('Point Grid'!$C$8:$I$35,MATCH($A$1,'Point Grid'!$A$8:$A$35,0),MATCH(A14,'Point Grid'!$C$7:$I$7,0))</f>
        <v>0.75</v>
      </c>
      <c r="B15" s="22"/>
      <c r="C15" s="22"/>
      <c r="D15" s="22"/>
      <c r="E15" s="22"/>
      <c r="F15" s="22"/>
      <c r="G15" s="22"/>
      <c r="H15" s="22"/>
      <c r="I15" s="26"/>
      <c r="K15"/>
      <c r="L15"/>
      <c r="M15"/>
      <c r="N15" s="24"/>
      <c r="O15" s="24"/>
      <c r="P15" s="24"/>
    </row>
    <row r="16" spans="1:16" ht="15" customHeight="1" thickBot="1">
      <c r="A16" s="5"/>
      <c r="B16" s="22"/>
      <c r="C16" s="22"/>
      <c r="D16" s="22"/>
      <c r="E16" s="22"/>
      <c r="F16" s="22"/>
      <c r="G16" s="22"/>
      <c r="H16" s="22"/>
      <c r="I16" s="26"/>
      <c r="K16"/>
      <c r="L16"/>
      <c r="M16"/>
      <c r="N16" s="24"/>
      <c r="O16" s="24"/>
      <c r="P16" s="24"/>
    </row>
    <row r="17" spans="1:13" ht="15" customHeight="1">
      <c r="A17" s="25"/>
      <c r="B17" s="22"/>
      <c r="C17" s="22"/>
      <c r="D17" s="22"/>
      <c r="E17" s="22"/>
      <c r="F17" s="22"/>
      <c r="G17" s="22"/>
      <c r="H17" s="22"/>
      <c r="I17" s="26"/>
      <c r="K17" s="40"/>
      <c r="L17" s="40"/>
      <c r="M17" s="40"/>
    </row>
    <row r="18" spans="1:13" ht="15" customHeight="1" thickBot="1">
      <c r="A18" s="27"/>
      <c r="B18" s="27"/>
      <c r="C18" s="27"/>
      <c r="D18" s="27"/>
      <c r="E18" s="27"/>
      <c r="F18" s="27"/>
      <c r="G18" s="27"/>
      <c r="H18" s="27"/>
      <c r="I18" s="28"/>
      <c r="K18" s="40"/>
      <c r="L18" s="40"/>
      <c r="M18" s="40"/>
    </row>
    <row r="19" spans="1:13" ht="15" customHeight="1">
      <c r="K19" s="40"/>
      <c r="L19" s="40"/>
      <c r="M19" s="40"/>
    </row>
    <row r="20" spans="1:13" ht="15" customHeight="1">
      <c r="K20" s="40"/>
      <c r="L20" s="40"/>
      <c r="M20" s="40"/>
    </row>
    <row r="21" spans="1:13" ht="15" customHeight="1">
      <c r="K21" s="40"/>
      <c r="L21" s="40"/>
      <c r="M21" s="40"/>
    </row>
    <row r="22" spans="1:13" ht="15" customHeight="1">
      <c r="K22" s="40"/>
      <c r="L22" s="40"/>
      <c r="M22" s="40"/>
    </row>
    <row r="23" spans="1:13" ht="15" customHeight="1">
      <c r="K23" s="40"/>
      <c r="L23" s="40"/>
      <c r="M23" s="40"/>
    </row>
    <row r="24" spans="1:13" ht="15" customHeight="1">
      <c r="K24" s="40"/>
      <c r="L24" s="40"/>
      <c r="M24" s="40"/>
    </row>
    <row r="25" spans="1:13" ht="15" customHeight="1">
      <c r="K25" s="40"/>
      <c r="L25" s="40"/>
      <c r="M25" s="40"/>
    </row>
    <row r="26" spans="1:13" ht="15" customHeight="1">
      <c r="K26" s="40"/>
      <c r="L26" s="40"/>
      <c r="M26" s="40"/>
    </row>
    <row r="27" spans="1:13" ht="15" customHeight="1">
      <c r="K27" s="40"/>
      <c r="L27" s="40"/>
      <c r="M27" s="40"/>
    </row>
    <row r="28" spans="1:13" ht="15" customHeight="1">
      <c r="K28" s="40"/>
      <c r="L28" s="40"/>
      <c r="M28" s="40"/>
    </row>
    <row r="29" spans="1:13" ht="15" customHeight="1">
      <c r="K29" s="40"/>
      <c r="L29" s="40"/>
      <c r="M29" s="40"/>
    </row>
    <row r="30" spans="1:13" ht="15" customHeight="1">
      <c r="K30" s="40"/>
      <c r="L30" s="40"/>
      <c r="M30" s="40"/>
    </row>
    <row r="31" spans="1:13" ht="15" customHeight="1">
      <c r="K31" s="40"/>
      <c r="L31" s="40"/>
      <c r="M31" s="40"/>
    </row>
    <row r="32" spans="1:13" ht="15" customHeight="1">
      <c r="K32" s="40"/>
      <c r="L32" s="40"/>
      <c r="M32" s="40"/>
    </row>
    <row r="33" spans="11:13" ht="15" customHeight="1">
      <c r="K33" s="40"/>
      <c r="L33" s="40"/>
      <c r="M33" s="40"/>
    </row>
    <row r="34" spans="11:13" ht="15" customHeight="1">
      <c r="K34" s="40"/>
      <c r="L34" s="40"/>
      <c r="M34" s="40"/>
    </row>
    <row r="35" spans="11:13" ht="15" customHeight="1">
      <c r="K35" s="40"/>
      <c r="L35" s="40"/>
      <c r="M35" s="40"/>
    </row>
    <row r="36" spans="11:13" ht="15" customHeight="1">
      <c r="K36" s="40"/>
      <c r="L36" s="40"/>
      <c r="M36" s="40"/>
    </row>
    <row r="37" spans="11:13" ht="15" customHeight="1">
      <c r="K37" s="40"/>
      <c r="L37" s="40"/>
      <c r="M37" s="40"/>
    </row>
    <row r="38" spans="11:13" ht="15" customHeight="1">
      <c r="K38" s="40"/>
      <c r="L38" s="40"/>
      <c r="M38" s="40"/>
    </row>
    <row r="39" spans="11:13" ht="15" customHeight="1">
      <c r="K39" s="40"/>
      <c r="L39" s="40"/>
      <c r="M39" s="40"/>
    </row>
    <row r="40" spans="11:13" ht="15" customHeight="1">
      <c r="K40" s="40"/>
      <c r="L40" s="40"/>
      <c r="M40" s="40"/>
    </row>
    <row r="41" spans="11:13" ht="15" customHeight="1">
      <c r="K41" s="40"/>
      <c r="L41" s="40"/>
      <c r="M41" s="40"/>
    </row>
    <row r="42" spans="11:13" ht="15" customHeight="1">
      <c r="K42" s="40"/>
      <c r="L42" s="40"/>
      <c r="M42" s="40"/>
    </row>
    <row r="43" spans="11:13" ht="15" customHeight="1">
      <c r="K43" s="40"/>
      <c r="L43" s="40"/>
      <c r="M43" s="40"/>
    </row>
    <row r="44" spans="11:13" ht="15" customHeight="1">
      <c r="K44" s="40"/>
      <c r="L44" s="40"/>
      <c r="M44" s="40"/>
    </row>
    <row r="45" spans="11:13" ht="15" customHeight="1">
      <c r="K45" s="40"/>
      <c r="L45" s="40"/>
      <c r="M45" s="40"/>
    </row>
    <row r="46" spans="11:13" ht="15" customHeight="1">
      <c r="K46" s="40"/>
      <c r="L46" s="40"/>
      <c r="M46" s="40"/>
    </row>
    <row r="47" spans="11:13" ht="15" customHeight="1">
      <c r="K47" s="40"/>
      <c r="L47" s="40"/>
      <c r="M47" s="40"/>
    </row>
    <row r="48" spans="11:13" ht="15" customHeight="1">
      <c r="K48" s="40"/>
      <c r="L48" s="40"/>
      <c r="M48" s="40"/>
    </row>
    <row r="49" spans="11:13">
      <c r="K49" s="40"/>
      <c r="L49" s="40"/>
      <c r="M49" s="40"/>
    </row>
    <row r="50" spans="11:13">
      <c r="K50" s="40"/>
      <c r="L50" s="40"/>
      <c r="M50" s="40"/>
    </row>
    <row r="51" spans="11:13">
      <c r="K51" s="40"/>
      <c r="L51" s="40"/>
      <c r="M51" s="40"/>
    </row>
    <row r="52" spans="11:13">
      <c r="K52" s="40"/>
      <c r="L52" s="40"/>
      <c r="M52" s="40"/>
    </row>
    <row r="53" spans="11:13">
      <c r="K53" s="40"/>
      <c r="L53" s="40"/>
      <c r="M53" s="40"/>
    </row>
    <row r="54" spans="11:13">
      <c r="K54" s="40"/>
      <c r="L54" s="40"/>
      <c r="M54" s="40"/>
    </row>
    <row r="55" spans="11:13">
      <c r="K55" s="40"/>
      <c r="L55" s="40"/>
      <c r="M55" s="40"/>
    </row>
    <row r="56" spans="11:13">
      <c r="K56" s="40"/>
      <c r="L56" s="40"/>
      <c r="M56" s="40"/>
    </row>
    <row r="57" spans="11:13">
      <c r="K57" s="40"/>
      <c r="L57" s="40"/>
      <c r="M57" s="40"/>
    </row>
    <row r="58" spans="11:13">
      <c r="K58" s="40"/>
      <c r="L58" s="40"/>
      <c r="M58" s="40"/>
    </row>
    <row r="59" spans="11:13">
      <c r="K59" s="40"/>
      <c r="L59" s="40"/>
      <c r="M59" s="40"/>
    </row>
    <row r="60" spans="11:13">
      <c r="K60" s="40"/>
      <c r="L60" s="40"/>
      <c r="M60" s="40"/>
    </row>
    <row r="61" spans="11:13">
      <c r="K61" s="40"/>
      <c r="L61" s="40"/>
      <c r="M61" s="40"/>
    </row>
    <row r="62" spans="11:13">
      <c r="K62" s="40"/>
      <c r="L62" s="40"/>
      <c r="M62" s="40"/>
    </row>
    <row r="63" spans="11:13">
      <c r="K63" s="40"/>
      <c r="L63" s="40"/>
      <c r="M63" s="40"/>
    </row>
    <row r="64" spans="11:13">
      <c r="K64" s="40"/>
      <c r="L64" s="40"/>
      <c r="M64" s="40"/>
    </row>
    <row r="65" spans="11:13">
      <c r="K65" s="40"/>
      <c r="L65" s="40"/>
      <c r="M65" s="40"/>
    </row>
    <row r="66" spans="11:13">
      <c r="K66" s="40"/>
      <c r="L66" s="40"/>
      <c r="M66" s="40"/>
    </row>
    <row r="67" spans="11:13">
      <c r="K67" s="40"/>
      <c r="L67" s="40"/>
      <c r="M67" s="40"/>
    </row>
    <row r="68" spans="11:13">
      <c r="K68" s="40"/>
      <c r="L68" s="40"/>
      <c r="M68" s="40"/>
    </row>
    <row r="69" spans="11:13">
      <c r="K69" s="40"/>
      <c r="L69" s="40"/>
      <c r="M69" s="40"/>
    </row>
    <row r="70" spans="11:13">
      <c r="K70" s="40"/>
      <c r="L70" s="40"/>
      <c r="M70" s="40"/>
    </row>
    <row r="71" spans="11:13">
      <c r="K71" s="40"/>
      <c r="L71" s="40"/>
      <c r="M71" s="40"/>
    </row>
    <row r="72" spans="11:13">
      <c r="K72" s="40"/>
      <c r="L72" s="40"/>
      <c r="M72" s="40"/>
    </row>
    <row r="73" spans="11:13">
      <c r="K73" s="40"/>
      <c r="L73" s="40"/>
      <c r="M73" s="40"/>
    </row>
    <row r="74" spans="11:13">
      <c r="K74" s="40"/>
      <c r="L74" s="40"/>
      <c r="M74" s="40"/>
    </row>
    <row r="75" spans="11:13">
      <c r="K75" s="40"/>
      <c r="L75" s="40"/>
      <c r="M75" s="40"/>
    </row>
    <row r="76" spans="11:13">
      <c r="K76" s="40"/>
      <c r="L76" s="40"/>
      <c r="M76" s="40"/>
    </row>
    <row r="77" spans="11:13">
      <c r="K77" s="40"/>
      <c r="L77" s="40"/>
      <c r="M77" s="40"/>
    </row>
    <row r="78" spans="11:13">
      <c r="K78" s="40"/>
      <c r="L78" s="40"/>
      <c r="M78" s="40"/>
    </row>
    <row r="79" spans="11:13">
      <c r="K79" s="40"/>
      <c r="L79" s="40"/>
      <c r="M79" s="40"/>
    </row>
    <row r="80" spans="11:13">
      <c r="K80" s="40"/>
      <c r="L80" s="40"/>
      <c r="M80" s="40"/>
    </row>
  </sheetData>
  <mergeCells count="1">
    <mergeCell ref="H1:I1"/>
  </mergeCells>
  <conditionalFormatting sqref="B1">
    <cfRule type="cellIs" dxfId="5" priority="1" operator="equal">
      <formula>"Incomplete"</formula>
    </cfRule>
    <cfRule type="cellIs" dxfId="4" priority="2" operator="equal">
      <formula>"Flag for Review"</formula>
    </cfRule>
    <cfRule type="cellIs" dxfId="3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92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3" ht="15" customHeight="1">
      <c r="A1" s="7">
        <v>27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t="s">
        <v>316</v>
      </c>
      <c r="L1"/>
    </row>
    <row r="2" spans="1:13" ht="15" customHeight="1">
      <c r="A2" s="25"/>
      <c r="B2" s="22"/>
      <c r="C2" s="22"/>
      <c r="D2" s="22"/>
      <c r="E2" s="22"/>
      <c r="F2" s="22"/>
      <c r="G2" s="22"/>
      <c r="H2" s="22"/>
      <c r="I2" s="26"/>
      <c r="K2" s="50"/>
      <c r="L2" s="50"/>
      <c r="M2" s="50"/>
    </row>
    <row r="3" spans="1:13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s="50"/>
      <c r="L3" s="50"/>
      <c r="M3" s="50"/>
    </row>
    <row r="4" spans="1:13" ht="15" customHeight="1">
      <c r="A4" s="9">
        <f>INDEX('Point Grid'!B:B,MATCH($A$1,'Point Grid'!A:A,0))</f>
        <v>3</v>
      </c>
      <c r="B4" s="22"/>
      <c r="C4" s="22"/>
      <c r="D4" s="22"/>
      <c r="E4" s="22"/>
      <c r="F4" s="22"/>
      <c r="G4" s="22"/>
      <c r="H4" s="22"/>
      <c r="I4" s="26"/>
      <c r="K4" s="182" t="s">
        <v>2</v>
      </c>
      <c r="L4" s="50" t="s">
        <v>219</v>
      </c>
      <c r="M4" s="50"/>
    </row>
    <row r="5" spans="1:13" ht="15" customHeight="1">
      <c r="A5" s="25"/>
      <c r="B5" s="22"/>
      <c r="C5" s="22"/>
      <c r="D5" s="22"/>
      <c r="E5" s="22"/>
      <c r="F5" s="22"/>
      <c r="G5" s="22"/>
      <c r="H5" s="22"/>
      <c r="I5" s="26"/>
      <c r="K5" s="182"/>
      <c r="L5" s="50"/>
      <c r="M5" s="50" t="s">
        <v>217</v>
      </c>
    </row>
    <row r="6" spans="1:13" ht="15" customHeight="1">
      <c r="A6" s="29" t="s">
        <v>2</v>
      </c>
      <c r="B6" s="22" t="s">
        <v>212</v>
      </c>
      <c r="C6" s="22"/>
      <c r="D6" s="22"/>
      <c r="E6" s="22"/>
      <c r="F6" s="22"/>
      <c r="G6" s="22"/>
      <c r="H6" s="22"/>
      <c r="I6" s="26"/>
      <c r="K6" s="182"/>
      <c r="L6" s="50" t="s">
        <v>218</v>
      </c>
      <c r="M6" s="50"/>
    </row>
    <row r="7" spans="1:13" ht="15" customHeight="1" thickBot="1">
      <c r="A7" s="9">
        <f>INDEX('Point Grid'!$C$8:$I$40,MATCH($A$1,'Point Grid'!$A$8:$A$40,0),MATCH(A6,'Point Grid'!$C$7:$I$7,0))</f>
        <v>1</v>
      </c>
      <c r="B7" s="22"/>
      <c r="C7" s="22"/>
      <c r="D7" s="22"/>
      <c r="E7" s="22"/>
      <c r="F7" s="22"/>
      <c r="G7" s="22"/>
      <c r="H7" s="22"/>
      <c r="I7" s="26"/>
      <c r="K7" s="182"/>
      <c r="L7" s="50" t="s">
        <v>220</v>
      </c>
      <c r="M7" s="50"/>
    </row>
    <row r="8" spans="1:13" ht="15" customHeight="1" thickBot="1">
      <c r="A8" s="5"/>
      <c r="B8" s="22"/>
      <c r="C8" s="22"/>
      <c r="D8" s="22"/>
      <c r="E8" s="22"/>
      <c r="F8" s="22"/>
      <c r="G8" s="22"/>
      <c r="H8" s="22"/>
      <c r="I8" s="26"/>
      <c r="K8" s="182"/>
      <c r="L8" s="50" t="s">
        <v>221</v>
      </c>
      <c r="M8" s="50"/>
    </row>
    <row r="9" spans="1:13" ht="15" customHeight="1">
      <c r="A9" s="31"/>
      <c r="B9" s="22"/>
      <c r="C9" s="22"/>
      <c r="D9" s="22"/>
      <c r="E9" s="22"/>
      <c r="F9" s="22"/>
      <c r="G9" s="22"/>
      <c r="H9" s="22"/>
      <c r="I9" s="26"/>
      <c r="K9" s="182"/>
      <c r="L9" s="50"/>
      <c r="M9" s="50"/>
    </row>
    <row r="10" spans="1:13" ht="15" customHeight="1">
      <c r="A10" s="29" t="s">
        <v>3</v>
      </c>
      <c r="B10" s="22" t="s">
        <v>222</v>
      </c>
      <c r="C10" s="22"/>
      <c r="D10" s="22"/>
      <c r="E10" s="22"/>
      <c r="F10" s="22"/>
      <c r="G10" s="22"/>
      <c r="H10" s="22"/>
      <c r="I10" s="26"/>
      <c r="K10" s="182" t="s">
        <v>3</v>
      </c>
      <c r="L10" s="1" t="s">
        <v>223</v>
      </c>
      <c r="M10" s="50"/>
    </row>
    <row r="11" spans="1:13" ht="15" customHeight="1" thickBot="1">
      <c r="A11" s="9">
        <f>INDEX('Point Grid'!$C$8:$I$40,MATCH($A$1,'Point Grid'!$A$8:$A$40,0),MATCH(A10,'Point Grid'!$C$7:$I$7,0))</f>
        <v>1</v>
      </c>
      <c r="B11" s="22"/>
      <c r="C11" s="22"/>
      <c r="D11" s="22"/>
      <c r="E11" s="22"/>
      <c r="F11" s="22"/>
      <c r="G11" s="22"/>
      <c r="H11" s="22"/>
      <c r="I11" s="26"/>
      <c r="K11" s="182"/>
      <c r="L11" s="50" t="s">
        <v>224</v>
      </c>
      <c r="M11" s="50"/>
    </row>
    <row r="12" spans="1:13" ht="15" customHeight="1" thickBot="1">
      <c r="A12" s="5"/>
      <c r="B12" s="22"/>
      <c r="C12" s="22"/>
      <c r="D12" s="22"/>
      <c r="E12" s="22"/>
      <c r="F12" s="22"/>
      <c r="G12" s="22"/>
      <c r="H12" s="22"/>
      <c r="I12" s="26"/>
      <c r="K12" s="182"/>
      <c r="L12" s="50" t="s">
        <v>225</v>
      </c>
      <c r="M12" s="50"/>
    </row>
    <row r="13" spans="1:13" ht="15" customHeight="1">
      <c r="A13" s="31"/>
      <c r="B13" s="22"/>
      <c r="C13" s="22"/>
      <c r="D13" s="22"/>
      <c r="E13" s="22"/>
      <c r="F13" s="22"/>
      <c r="G13" s="22"/>
      <c r="H13" s="22"/>
      <c r="I13" s="26"/>
      <c r="K13" s="182"/>
      <c r="L13" s="50" t="s">
        <v>226</v>
      </c>
      <c r="M13" s="50"/>
    </row>
    <row r="14" spans="1:13" ht="15" customHeight="1">
      <c r="A14" s="29" t="s">
        <v>4</v>
      </c>
      <c r="B14" s="22" t="s">
        <v>216</v>
      </c>
      <c r="C14" s="22"/>
      <c r="D14" s="22"/>
      <c r="E14" s="22"/>
      <c r="F14" s="22"/>
      <c r="G14" s="22"/>
      <c r="H14" s="22"/>
      <c r="I14" s="26"/>
      <c r="K14" s="182"/>
      <c r="L14" s="50" t="s">
        <v>227</v>
      </c>
      <c r="M14" s="50"/>
    </row>
    <row r="15" spans="1:13" ht="15" customHeight="1" thickBot="1">
      <c r="A15" s="9">
        <f>INDEX('Point Grid'!$C$8:$I$40,MATCH($A$1,'Point Grid'!$A$8:$A$40,0),MATCH(A14,'Point Grid'!$C$7:$I$7,0))</f>
        <v>0.5</v>
      </c>
      <c r="B15" s="22"/>
      <c r="C15" s="22"/>
      <c r="D15" s="22"/>
      <c r="E15" s="22"/>
      <c r="F15" s="22"/>
      <c r="G15" s="22"/>
      <c r="H15" s="22"/>
      <c r="I15" s="26"/>
      <c r="K15" s="182"/>
      <c r="L15" s="50" t="s">
        <v>228</v>
      </c>
      <c r="M15" s="50"/>
    </row>
    <row r="16" spans="1:13" ht="15" customHeight="1" thickBot="1">
      <c r="A16" s="5"/>
      <c r="B16" s="22"/>
      <c r="C16" s="22"/>
      <c r="D16" s="22"/>
      <c r="E16" s="22"/>
      <c r="F16" s="22"/>
      <c r="G16" s="22"/>
      <c r="H16" s="22"/>
      <c r="I16" s="26"/>
      <c r="K16" s="182"/>
      <c r="L16" s="50" t="s">
        <v>229</v>
      </c>
      <c r="M16" s="50"/>
    </row>
    <row r="17" spans="1:13" ht="15" customHeight="1">
      <c r="A17" s="25"/>
      <c r="B17" s="22"/>
      <c r="C17" s="22"/>
      <c r="D17" s="22"/>
      <c r="E17" s="22"/>
      <c r="F17" s="22"/>
      <c r="G17" s="22"/>
      <c r="H17" s="22"/>
      <c r="I17" s="26"/>
      <c r="K17" s="182"/>
      <c r="L17" s="50"/>
      <c r="M17" s="50"/>
    </row>
    <row r="18" spans="1:13" ht="15" customHeight="1">
      <c r="A18" s="29" t="s">
        <v>5</v>
      </c>
      <c r="B18" s="22" t="s">
        <v>980</v>
      </c>
      <c r="C18" s="22"/>
      <c r="D18" s="22"/>
      <c r="E18" s="22"/>
      <c r="F18" s="22"/>
      <c r="G18" s="22"/>
      <c r="H18" s="22"/>
      <c r="I18" s="26"/>
      <c r="K18" s="182" t="s">
        <v>62</v>
      </c>
      <c r="L18" s="50" t="s">
        <v>244</v>
      </c>
      <c r="M18" s="50"/>
    </row>
    <row r="19" spans="1:13" ht="15" customHeight="1" thickBot="1">
      <c r="A19" s="9">
        <f>INDEX('Point Grid'!$C$8:$I$40,MATCH($A$1,'Point Grid'!$A$8:$A$40,0),MATCH(A18,'Point Grid'!$C$7:$I$7,0))</f>
        <v>0.5</v>
      </c>
      <c r="B19" s="22" t="s">
        <v>979</v>
      </c>
      <c r="C19" s="22"/>
      <c r="D19" s="22"/>
      <c r="E19" s="22"/>
      <c r="F19" s="22"/>
      <c r="G19" s="22"/>
      <c r="H19" s="22"/>
      <c r="I19" s="26"/>
      <c r="K19" s="182"/>
      <c r="L19" s="50" t="s">
        <v>303</v>
      </c>
      <c r="M19" s="50"/>
    </row>
    <row r="20" spans="1:13" ht="15" customHeight="1" thickBot="1">
      <c r="A20" s="5"/>
      <c r="B20" s="22"/>
      <c r="C20" s="22"/>
      <c r="D20" s="22"/>
      <c r="E20" s="22"/>
      <c r="F20" s="22"/>
      <c r="G20" s="22"/>
      <c r="H20" s="22"/>
      <c r="I20" s="26"/>
      <c r="K20" s="182"/>
      <c r="L20" s="50"/>
      <c r="M20" s="50"/>
    </row>
    <row r="21" spans="1:13" ht="15" customHeight="1">
      <c r="A21" s="25"/>
      <c r="B21" s="22"/>
      <c r="C21" s="22"/>
      <c r="D21" s="22"/>
      <c r="E21" s="22"/>
      <c r="F21" s="22"/>
      <c r="G21" s="22"/>
      <c r="H21" s="22"/>
      <c r="I21" s="26"/>
      <c r="K21" s="182"/>
      <c r="L21" s="50"/>
      <c r="M21" s="50"/>
    </row>
    <row r="22" spans="1:13" ht="15" customHeight="1" thickBot="1">
      <c r="A22" s="27"/>
      <c r="B22" s="27"/>
      <c r="C22" s="27"/>
      <c r="D22" s="27"/>
      <c r="E22" s="27"/>
      <c r="F22" s="27"/>
      <c r="G22" s="27"/>
      <c r="H22" s="27"/>
      <c r="I22" s="28"/>
      <c r="K22" s="182" t="s">
        <v>5</v>
      </c>
      <c r="L22" s="50" t="s">
        <v>213</v>
      </c>
      <c r="M22" s="50"/>
    </row>
    <row r="23" spans="1:13" ht="15" customHeight="1">
      <c r="A23"/>
      <c r="B23"/>
      <c r="C23"/>
      <c r="D23"/>
      <c r="E23"/>
      <c r="F23"/>
      <c r="G23"/>
      <c r="H23"/>
      <c r="I23"/>
      <c r="K23" s="50"/>
      <c r="L23" s="50"/>
      <c r="M23" s="50" t="s">
        <v>215</v>
      </c>
    </row>
    <row r="24" spans="1:13" ht="15" customHeight="1">
      <c r="A24"/>
      <c r="B24"/>
      <c r="C24"/>
      <c r="D24"/>
      <c r="E24"/>
      <c r="F24"/>
      <c r="G24"/>
      <c r="H24"/>
      <c r="I24"/>
      <c r="K24" s="50"/>
      <c r="L24" s="50"/>
      <c r="M24" s="50"/>
    </row>
    <row r="25" spans="1:13" ht="15" customHeight="1">
      <c r="A25"/>
      <c r="B25"/>
      <c r="C25"/>
      <c r="D25"/>
      <c r="E25"/>
      <c r="F25"/>
      <c r="G25"/>
      <c r="H25"/>
      <c r="I25"/>
      <c r="K25" s="50"/>
      <c r="L25" s="50" t="s">
        <v>214</v>
      </c>
      <c r="M25" s="50"/>
    </row>
    <row r="26" spans="1:13" ht="15" customHeight="1">
      <c r="A26"/>
      <c r="B26"/>
      <c r="C26"/>
      <c r="D26"/>
      <c r="E26"/>
      <c r="F26"/>
      <c r="G26"/>
      <c r="H26"/>
      <c r="I26"/>
      <c r="K26" s="50"/>
      <c r="L26" s="50"/>
      <c r="M26" s="50" t="s">
        <v>245</v>
      </c>
    </row>
    <row r="27" spans="1:13" ht="15" customHeight="1">
      <c r="A27"/>
      <c r="B27"/>
      <c r="C27"/>
      <c r="D27"/>
      <c r="E27"/>
      <c r="F27"/>
      <c r="G27"/>
      <c r="H27"/>
      <c r="I27"/>
      <c r="K27" s="50"/>
      <c r="L27" s="50"/>
      <c r="M27" s="50"/>
    </row>
    <row r="28" spans="1:13" ht="15" customHeight="1">
      <c r="A28"/>
      <c r="B28"/>
      <c r="C28"/>
      <c r="D28"/>
      <c r="E28"/>
      <c r="F28"/>
      <c r="G28"/>
      <c r="H28"/>
      <c r="I28"/>
      <c r="J28"/>
      <c r="K28"/>
      <c r="L28"/>
    </row>
    <row r="29" spans="1:13" ht="15" customHeight="1">
      <c r="A29"/>
      <c r="B29"/>
      <c r="C29"/>
      <c r="D29"/>
      <c r="E29"/>
      <c r="F29"/>
      <c r="G29"/>
      <c r="H29"/>
      <c r="I29"/>
      <c r="J29"/>
      <c r="K29"/>
      <c r="L29"/>
    </row>
    <row r="30" spans="1:13" ht="15" customHeight="1">
      <c r="A30"/>
      <c r="B30"/>
      <c r="C30"/>
      <c r="D30"/>
      <c r="E30"/>
      <c r="F30"/>
      <c r="G30"/>
      <c r="H30"/>
      <c r="I30"/>
      <c r="J30"/>
      <c r="K30"/>
      <c r="L30"/>
    </row>
    <row r="31" spans="1:13" ht="15" customHeight="1">
      <c r="K31"/>
      <c r="L31"/>
    </row>
    <row r="32" spans="1:13" ht="15" customHeight="1">
      <c r="K32"/>
      <c r="L32"/>
    </row>
    <row r="33" spans="11:12" ht="15" customHeight="1">
      <c r="K33"/>
      <c r="L33"/>
    </row>
    <row r="34" spans="11:12" ht="15" customHeight="1">
      <c r="K34"/>
      <c r="L34"/>
    </row>
    <row r="35" spans="11:12" ht="15" customHeight="1">
      <c r="K35"/>
      <c r="L35"/>
    </row>
    <row r="36" spans="11:12" ht="15" customHeight="1">
      <c r="K36"/>
      <c r="L36"/>
    </row>
    <row r="37" spans="11:12" ht="15" customHeight="1">
      <c r="K37"/>
      <c r="L37"/>
    </row>
    <row r="38" spans="11:12" ht="15" customHeight="1">
      <c r="K38"/>
      <c r="L38"/>
    </row>
    <row r="39" spans="11:12" ht="15" customHeight="1">
      <c r="K39"/>
      <c r="L39"/>
    </row>
    <row r="40" spans="11:12" ht="15" customHeight="1">
      <c r="K40"/>
      <c r="L40"/>
    </row>
    <row r="41" spans="11:12" ht="15" customHeight="1">
      <c r="K41"/>
      <c r="L41"/>
    </row>
    <row r="42" spans="11:12" ht="15" customHeight="1">
      <c r="K42"/>
      <c r="L42"/>
    </row>
    <row r="43" spans="11:12" ht="15" customHeight="1">
      <c r="K43"/>
      <c r="L43"/>
    </row>
    <row r="44" spans="11:12" ht="15" customHeight="1">
      <c r="K44"/>
      <c r="L44"/>
    </row>
    <row r="45" spans="11:12" ht="15" customHeight="1">
      <c r="K45"/>
      <c r="L45"/>
    </row>
    <row r="46" spans="11:12" ht="15" customHeight="1">
      <c r="K46"/>
      <c r="L46"/>
    </row>
    <row r="47" spans="11:12" ht="15" customHeight="1">
      <c r="K47"/>
      <c r="L47"/>
    </row>
    <row r="48" spans="11:12" ht="15" customHeight="1">
      <c r="K48"/>
      <c r="L48"/>
    </row>
    <row r="49" spans="11:12" ht="15" customHeight="1">
      <c r="K49"/>
      <c r="L49"/>
    </row>
    <row r="50" spans="11:12" ht="15" customHeight="1">
      <c r="K50"/>
      <c r="L50"/>
    </row>
    <row r="51" spans="11:12" ht="15" customHeight="1">
      <c r="K51"/>
      <c r="L51"/>
    </row>
    <row r="52" spans="11:12" ht="15" customHeight="1">
      <c r="K52"/>
      <c r="L52"/>
    </row>
    <row r="53" spans="11:12" ht="15" customHeight="1">
      <c r="K53"/>
      <c r="L53"/>
    </row>
    <row r="54" spans="11:12" ht="15" customHeight="1">
      <c r="K54"/>
      <c r="L54"/>
    </row>
    <row r="55" spans="11:12" ht="15" customHeight="1">
      <c r="K55"/>
      <c r="L55"/>
    </row>
    <row r="56" spans="11:12" ht="15" customHeight="1">
      <c r="K56"/>
      <c r="L56"/>
    </row>
    <row r="57" spans="11:12" ht="15" customHeight="1">
      <c r="K57"/>
      <c r="L57"/>
    </row>
    <row r="58" spans="11:12" ht="15" customHeight="1">
      <c r="K58"/>
      <c r="L58"/>
    </row>
    <row r="59" spans="11:12" ht="15" customHeight="1">
      <c r="K59"/>
      <c r="L59"/>
    </row>
    <row r="60" spans="11:12" ht="15" customHeight="1">
      <c r="K60"/>
      <c r="L60"/>
    </row>
    <row r="61" spans="11:12" ht="15" customHeight="1">
      <c r="K61"/>
      <c r="L61"/>
    </row>
    <row r="62" spans="11:12" ht="15" customHeight="1">
      <c r="K62"/>
      <c r="L62"/>
    </row>
    <row r="63" spans="11:12" ht="15" customHeight="1">
      <c r="K63"/>
      <c r="L63"/>
    </row>
    <row r="64" spans="11:12" ht="15" customHeight="1">
      <c r="K64"/>
      <c r="L64"/>
    </row>
    <row r="65" spans="11:12" ht="15" customHeight="1">
      <c r="K65"/>
      <c r="L65"/>
    </row>
    <row r="66" spans="11:12" ht="15" customHeight="1">
      <c r="K66"/>
      <c r="L66"/>
    </row>
    <row r="67" spans="11:12" ht="15" customHeight="1">
      <c r="K67"/>
      <c r="L67"/>
    </row>
    <row r="68" spans="11:12" ht="15" customHeight="1">
      <c r="K68"/>
      <c r="L68"/>
    </row>
    <row r="69" spans="11:12" ht="15" customHeight="1">
      <c r="K69"/>
      <c r="L69"/>
    </row>
    <row r="70" spans="11:12" ht="15" customHeight="1">
      <c r="K70"/>
      <c r="L70"/>
    </row>
    <row r="71" spans="11:12" ht="15" customHeight="1">
      <c r="K71"/>
      <c r="L71"/>
    </row>
    <row r="72" spans="11:12" ht="15" customHeight="1">
      <c r="K72"/>
      <c r="L72"/>
    </row>
    <row r="73" spans="11:12" ht="15" customHeight="1">
      <c r="K73"/>
      <c r="L73"/>
    </row>
    <row r="74" spans="11:12" ht="15" customHeight="1">
      <c r="K74"/>
      <c r="L74"/>
    </row>
    <row r="75" spans="11:12" ht="15" customHeight="1">
      <c r="K75"/>
      <c r="L75"/>
    </row>
    <row r="76" spans="11:12" ht="15" customHeight="1">
      <c r="K76"/>
      <c r="L76"/>
    </row>
    <row r="77" spans="11:12" ht="15" customHeight="1">
      <c r="K77"/>
      <c r="L77"/>
    </row>
    <row r="78" spans="11:12" ht="15" customHeight="1">
      <c r="K78"/>
      <c r="L78"/>
    </row>
    <row r="79" spans="11:12" ht="15" customHeight="1">
      <c r="K79"/>
      <c r="L79"/>
    </row>
    <row r="80" spans="11:12" ht="15" customHeight="1">
      <c r="K80"/>
      <c r="L80"/>
    </row>
    <row r="81" spans="11:12" ht="15" customHeight="1">
      <c r="K81"/>
      <c r="L81"/>
    </row>
    <row r="82" spans="11:12" ht="15" customHeight="1">
      <c r="K82"/>
      <c r="L82"/>
    </row>
    <row r="83" spans="11:12" ht="15" customHeight="1">
      <c r="K83"/>
      <c r="L83"/>
    </row>
    <row r="84" spans="11:12" ht="15" customHeight="1">
      <c r="K84"/>
      <c r="L84"/>
    </row>
    <row r="85" spans="11:12" ht="15" customHeight="1">
      <c r="K85"/>
      <c r="L85"/>
    </row>
    <row r="86" spans="11:12" ht="15" customHeight="1">
      <c r="K86"/>
      <c r="L86"/>
    </row>
    <row r="87" spans="11:12" ht="15" customHeight="1">
      <c r="K87"/>
      <c r="L87"/>
    </row>
    <row r="88" spans="11:12" ht="15" customHeight="1">
      <c r="K88"/>
      <c r="L88"/>
    </row>
    <row r="89" spans="11:12" ht="15" customHeight="1">
      <c r="K89"/>
      <c r="L89"/>
    </row>
    <row r="90" spans="11:12" ht="15" customHeight="1">
      <c r="K90"/>
      <c r="L90"/>
    </row>
    <row r="91" spans="11:12">
      <c r="K91"/>
      <c r="L91"/>
    </row>
    <row r="92" spans="11:12">
      <c r="K92"/>
      <c r="L92"/>
    </row>
  </sheetData>
  <mergeCells count="1">
    <mergeCell ref="H1:I1"/>
  </mergeCells>
  <conditionalFormatting sqref="B1">
    <cfRule type="cellIs" dxfId="2" priority="1" operator="equal">
      <formula>"Incomplete"</formula>
    </cfRule>
    <cfRule type="cellIs" dxfId="1" priority="2" operator="equal">
      <formula>"Flag for Review"</formula>
    </cfRule>
    <cfRule type="cellIs" dxfId="0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85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11" width="10.7109375" style="24" customWidth="1"/>
    <col min="12" max="12" width="9.140625" style="24"/>
    <col min="13" max="13" width="9.28515625" style="41" bestFit="1" customWidth="1"/>
    <col min="14" max="14" width="9.140625" style="41"/>
    <col min="15" max="15" width="10.5703125" style="41" bestFit="1" customWidth="1"/>
    <col min="16" max="16384" width="9.140625" style="24"/>
  </cols>
  <sheetData>
    <row r="1" spans="1:15">
      <c r="A1" s="7">
        <v>1</v>
      </c>
      <c r="B1" s="32" t="s">
        <v>12</v>
      </c>
      <c r="C1" s="23"/>
      <c r="D1" s="23"/>
      <c r="E1" s="23"/>
      <c r="F1" s="23"/>
      <c r="G1" s="23"/>
      <c r="H1" s="23"/>
      <c r="I1" s="23"/>
      <c r="J1" s="469" t="s">
        <v>30</v>
      </c>
      <c r="K1" s="470"/>
      <c r="M1" s="50" t="s">
        <v>316</v>
      </c>
      <c r="N1" s="50"/>
      <c r="O1" s="24"/>
    </row>
    <row r="2" spans="1:15">
      <c r="A2" s="25"/>
      <c r="B2" s="22"/>
      <c r="C2" s="22"/>
      <c r="D2" s="22"/>
      <c r="E2" s="22"/>
      <c r="F2" s="22"/>
      <c r="G2" s="22"/>
      <c r="H2" s="22"/>
      <c r="I2" s="22"/>
      <c r="J2" s="22"/>
      <c r="K2" s="26"/>
      <c r="M2" s="50"/>
      <c r="N2" s="50"/>
      <c r="O2" s="24"/>
    </row>
    <row r="3" spans="1:15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6"/>
      <c r="M3" s="50"/>
      <c r="N3" s="50"/>
      <c r="O3" s="24"/>
    </row>
    <row r="4" spans="1:15" ht="15" customHeight="1">
      <c r="A4" s="9">
        <f>INDEX('Point Grid'!B:B,MATCH($A$1,'Point Grid'!A:A,0))</f>
        <v>1.5</v>
      </c>
      <c r="B4" s="22" t="s">
        <v>66</v>
      </c>
      <c r="C4" s="22"/>
      <c r="D4" s="22"/>
      <c r="E4" s="22"/>
      <c r="F4" s="22"/>
      <c r="G4" s="22"/>
      <c r="H4" s="22"/>
      <c r="I4" s="22"/>
      <c r="J4" s="22"/>
      <c r="K4" s="26"/>
      <c r="M4" s="50"/>
      <c r="N4" s="50"/>
      <c r="O4" s="24"/>
    </row>
    <row r="5" spans="1:15" ht="15" customHeight="1">
      <c r="A5" s="25"/>
      <c r="B5" s="22" t="s">
        <v>67</v>
      </c>
      <c r="C5" s="22"/>
      <c r="D5" s="22"/>
      <c r="E5" s="22"/>
      <c r="F5" s="22"/>
      <c r="G5" s="22"/>
      <c r="H5" s="22"/>
      <c r="I5" s="22"/>
      <c r="J5" s="22"/>
      <c r="K5" s="26"/>
      <c r="M5" s="50" t="s">
        <v>2</v>
      </c>
      <c r="N5" s="1" t="s">
        <v>76</v>
      </c>
      <c r="O5" s="24"/>
    </row>
    <row r="6" spans="1:15" ht="15" customHeight="1">
      <c r="A6" s="25"/>
      <c r="B6" s="51">
        <v>5000000</v>
      </c>
      <c r="C6" s="22" t="s">
        <v>301</v>
      </c>
      <c r="D6" s="22"/>
      <c r="E6" s="22"/>
      <c r="F6" s="22"/>
      <c r="G6" s="22"/>
      <c r="H6" s="22"/>
      <c r="I6" s="22"/>
      <c r="J6" s="22"/>
      <c r="K6" s="26"/>
      <c r="M6" s="182"/>
      <c r="N6" s="50" t="s">
        <v>72</v>
      </c>
      <c r="O6" s="24"/>
    </row>
    <row r="7" spans="1:15" ht="15" customHeight="1">
      <c r="A7" s="25"/>
      <c r="B7" s="51">
        <v>1000</v>
      </c>
      <c r="C7" s="22" t="s">
        <v>946</v>
      </c>
      <c r="D7" s="22"/>
      <c r="E7" s="22"/>
      <c r="F7" s="22"/>
      <c r="G7" s="22"/>
      <c r="H7" s="22"/>
      <c r="I7" s="22"/>
      <c r="J7" s="22"/>
      <c r="K7" s="26"/>
      <c r="M7" s="50"/>
      <c r="N7" s="50"/>
      <c r="O7" s="24"/>
    </row>
    <row r="8" spans="1:15" ht="15" customHeight="1">
      <c r="A8" s="25"/>
      <c r="B8" s="22"/>
      <c r="C8" s="22"/>
      <c r="D8" s="22"/>
      <c r="E8" s="22"/>
      <c r="F8" s="22"/>
      <c r="G8" s="22"/>
      <c r="H8" s="22"/>
      <c r="I8" s="22"/>
      <c r="J8" s="22"/>
      <c r="K8" s="26"/>
      <c r="M8" s="50"/>
      <c r="N8" s="50"/>
      <c r="O8" s="24"/>
    </row>
    <row r="9" spans="1:15" ht="15" customHeight="1">
      <c r="A9" s="25"/>
      <c r="B9" s="22" t="s">
        <v>82</v>
      </c>
      <c r="C9" s="22"/>
      <c r="D9" s="22"/>
      <c r="E9" s="22"/>
      <c r="F9" s="22"/>
      <c r="G9" s="22"/>
      <c r="H9" s="22"/>
      <c r="I9" s="22"/>
      <c r="J9" s="22"/>
      <c r="K9" s="26"/>
      <c r="M9" s="50" t="s">
        <v>3</v>
      </c>
      <c r="N9" s="1" t="s">
        <v>73</v>
      </c>
      <c r="O9" s="24"/>
    </row>
    <row r="10" spans="1:15" ht="15" customHeight="1">
      <c r="A10" s="25"/>
      <c r="B10" s="51">
        <v>1000000</v>
      </c>
      <c r="C10" s="22" t="s">
        <v>80</v>
      </c>
      <c r="D10" s="22"/>
      <c r="E10" s="22"/>
      <c r="F10" s="22"/>
      <c r="G10" s="22"/>
      <c r="H10" s="22"/>
      <c r="I10" s="22"/>
      <c r="J10" s="22"/>
      <c r="K10" s="26"/>
      <c r="M10" s="50"/>
      <c r="N10" s="50" t="s">
        <v>83</v>
      </c>
      <c r="O10" s="24"/>
    </row>
    <row r="11" spans="1:15" ht="15" customHeight="1">
      <c r="A11" s="25"/>
      <c r="B11" s="51">
        <v>20000</v>
      </c>
      <c r="C11" s="22" t="s">
        <v>81</v>
      </c>
      <c r="D11" s="22"/>
      <c r="E11" s="22"/>
      <c r="F11" s="22"/>
      <c r="G11" s="22"/>
      <c r="H11" s="22"/>
      <c r="I11" s="22"/>
      <c r="J11" s="22"/>
      <c r="K11" s="26"/>
      <c r="M11" s="50"/>
      <c r="N11" s="50" t="s">
        <v>78</v>
      </c>
      <c r="O11" s="52">
        <f>B10</f>
        <v>1000000</v>
      </c>
    </row>
    <row r="12" spans="1:15" ht="15" customHeight="1">
      <c r="A12" s="25"/>
      <c r="B12" s="22" t="s">
        <v>68</v>
      </c>
      <c r="C12" s="22"/>
      <c r="D12" s="22"/>
      <c r="E12" s="22"/>
      <c r="F12" s="22"/>
      <c r="G12" s="22"/>
      <c r="H12" s="22"/>
      <c r="I12" s="22"/>
      <c r="J12" s="22"/>
      <c r="K12" s="26"/>
      <c r="M12" s="50"/>
      <c r="N12" s="50" t="s">
        <v>79</v>
      </c>
      <c r="O12" s="52">
        <f>B11-B7</f>
        <v>19000</v>
      </c>
    </row>
    <row r="13" spans="1:15" ht="15" customHeight="1">
      <c r="A13" s="25"/>
      <c r="B13" s="22" t="s">
        <v>69</v>
      </c>
      <c r="C13" s="22"/>
      <c r="D13" s="22"/>
      <c r="E13" s="22"/>
      <c r="F13" s="22"/>
      <c r="G13" s="22"/>
      <c r="H13" s="22"/>
      <c r="I13" s="22"/>
      <c r="J13" s="22"/>
      <c r="K13" s="26"/>
      <c r="M13" s="50"/>
      <c r="N13" s="50"/>
      <c r="O13" s="24"/>
    </row>
    <row r="14" spans="1:15" ht="15" customHeight="1">
      <c r="A14" s="25"/>
      <c r="B14" s="22"/>
      <c r="C14" s="22"/>
      <c r="D14" s="22"/>
      <c r="E14" s="22"/>
      <c r="F14" s="22"/>
      <c r="G14" s="22"/>
      <c r="H14" s="22"/>
      <c r="I14" s="22"/>
      <c r="J14" s="22"/>
      <c r="K14" s="26"/>
      <c r="M14" s="182"/>
      <c r="N14" s="50"/>
      <c r="O14" s="24"/>
    </row>
    <row r="15" spans="1:15" ht="15" customHeight="1">
      <c r="A15" s="29" t="s">
        <v>2</v>
      </c>
      <c r="B15" s="22" t="s">
        <v>71</v>
      </c>
      <c r="C15" s="22"/>
      <c r="D15" s="22"/>
      <c r="E15" s="22"/>
      <c r="F15" s="22"/>
      <c r="G15" s="22"/>
      <c r="H15" s="22"/>
      <c r="I15" s="22"/>
      <c r="J15" s="22"/>
      <c r="K15" s="26"/>
      <c r="M15" s="182" t="s">
        <v>62</v>
      </c>
      <c r="N15" s="1" t="s">
        <v>77</v>
      </c>
      <c r="O15" s="24"/>
    </row>
    <row r="16" spans="1:15" ht="15" customHeight="1" thickBot="1">
      <c r="A16" s="9">
        <f>INDEX('Point Grid'!$C$8:$I$35,MATCH($A$1,'Point Grid'!$A$8:$A$35,0),MATCH(A15,'Point Grid'!$C$7:$I$7,0))</f>
        <v>0.5</v>
      </c>
      <c r="B16" s="22"/>
      <c r="C16" s="22"/>
      <c r="D16" s="22"/>
      <c r="E16" s="22"/>
      <c r="F16" s="22"/>
      <c r="G16" s="22"/>
      <c r="H16" s="22"/>
      <c r="I16" s="22"/>
      <c r="J16" s="22"/>
      <c r="K16" s="26"/>
      <c r="M16" s="50"/>
      <c r="N16" s="50" t="s">
        <v>75</v>
      </c>
      <c r="O16" s="24"/>
    </row>
    <row r="17" spans="1:15" ht="15" customHeight="1" thickBot="1">
      <c r="A17" s="5"/>
      <c r="B17" s="22"/>
      <c r="C17" s="22"/>
      <c r="D17" s="22"/>
      <c r="E17" s="22"/>
      <c r="F17" s="22"/>
      <c r="G17" s="22"/>
      <c r="H17" s="22"/>
      <c r="I17" s="22"/>
      <c r="J17" s="22"/>
      <c r="K17" s="26"/>
      <c r="M17" s="50"/>
      <c r="N17" s="50"/>
      <c r="O17" s="24"/>
    </row>
    <row r="18" spans="1:15" ht="15" customHeight="1">
      <c r="A18" s="31"/>
      <c r="B18" s="22"/>
      <c r="C18" s="22"/>
      <c r="D18" s="22"/>
      <c r="E18" s="22"/>
      <c r="F18" s="22"/>
      <c r="G18" s="22"/>
      <c r="H18" s="22"/>
      <c r="I18" s="22"/>
      <c r="J18" s="22"/>
      <c r="K18" s="26"/>
      <c r="M18" s="50"/>
      <c r="N18" s="50"/>
      <c r="O18" s="24"/>
    </row>
    <row r="19" spans="1:15" ht="15" customHeight="1">
      <c r="A19" s="29" t="s">
        <v>3</v>
      </c>
      <c r="B19" s="22" t="s">
        <v>70</v>
      </c>
      <c r="C19" s="22"/>
      <c r="D19" s="22"/>
      <c r="E19" s="22"/>
      <c r="F19" s="22"/>
      <c r="G19" s="22"/>
      <c r="H19" s="22"/>
      <c r="I19" s="22"/>
      <c r="J19" s="22"/>
      <c r="K19" s="26"/>
      <c r="M19" s="50"/>
      <c r="N19" s="50"/>
      <c r="O19" s="24"/>
    </row>
    <row r="20" spans="1:15" ht="15" customHeight="1" thickBot="1">
      <c r="A20" s="9">
        <f>INDEX('Point Grid'!$C$8:$I$35,MATCH($A$1,'Point Grid'!$A$8:$A$35,0),MATCH(A19,'Point Grid'!$C$7:$I$7,0))</f>
        <v>0.5</v>
      </c>
      <c r="B20" s="22"/>
      <c r="C20" s="22"/>
      <c r="D20" s="22"/>
      <c r="E20" s="22"/>
      <c r="F20" s="22"/>
      <c r="G20" s="22"/>
      <c r="H20" s="22"/>
      <c r="I20" s="22"/>
      <c r="J20" s="22"/>
      <c r="K20" s="26"/>
      <c r="M20" s="50"/>
      <c r="N20" s="50"/>
      <c r="O20" s="24"/>
    </row>
    <row r="21" spans="1:15" ht="15" customHeight="1" thickBot="1">
      <c r="A21" s="5"/>
      <c r="B21" s="22"/>
      <c r="C21" s="22"/>
      <c r="D21" s="22"/>
      <c r="E21" s="22"/>
      <c r="F21" s="22"/>
      <c r="G21" s="22"/>
      <c r="H21" s="22"/>
      <c r="I21" s="22"/>
      <c r="J21" s="22"/>
      <c r="K21" s="26"/>
      <c r="M21" s="50"/>
      <c r="N21" s="50"/>
      <c r="O21" s="24"/>
    </row>
    <row r="22" spans="1:15" ht="15" customHeight="1">
      <c r="A22" s="31"/>
      <c r="B22" s="22"/>
      <c r="C22" s="22"/>
      <c r="D22" s="22"/>
      <c r="E22" s="22"/>
      <c r="F22" s="22"/>
      <c r="G22" s="22"/>
      <c r="H22" s="22"/>
      <c r="I22" s="22"/>
      <c r="J22" s="22"/>
      <c r="K22" s="26"/>
      <c r="M22" s="50"/>
      <c r="N22" s="50"/>
      <c r="O22" s="24"/>
    </row>
    <row r="23" spans="1:15" ht="15" customHeight="1">
      <c r="A23" s="29" t="s">
        <v>4</v>
      </c>
      <c r="B23" s="22" t="s">
        <v>232</v>
      </c>
      <c r="C23" s="22"/>
      <c r="D23" s="22"/>
      <c r="E23" s="22"/>
      <c r="F23" s="22"/>
      <c r="G23" s="22"/>
      <c r="H23" s="22"/>
      <c r="I23" s="22"/>
      <c r="J23" s="22"/>
      <c r="K23" s="26"/>
      <c r="M23" s="50"/>
      <c r="N23" s="50"/>
      <c r="O23" s="24"/>
    </row>
    <row r="24" spans="1:15" ht="15" customHeight="1" thickBot="1">
      <c r="A24" s="9">
        <f>INDEX('Point Grid'!$C$8:$I$35,MATCH($A$1,'Point Grid'!$A$8:$A$35,0),MATCH(A23,'Point Grid'!$C$7:$I$7,0))</f>
        <v>0.5</v>
      </c>
      <c r="B24" s="22" t="s">
        <v>74</v>
      </c>
      <c r="C24" s="22"/>
      <c r="D24" s="22"/>
      <c r="E24" s="22"/>
      <c r="F24" s="22"/>
      <c r="G24" s="22"/>
      <c r="H24" s="22"/>
      <c r="I24" s="22"/>
      <c r="J24" s="22"/>
      <c r="K24" s="26"/>
      <c r="M24" s="50"/>
      <c r="N24" s="50"/>
      <c r="O24" s="24"/>
    </row>
    <row r="25" spans="1:15" ht="15" customHeight="1" thickBot="1">
      <c r="A25" s="5"/>
      <c r="B25" s="22"/>
      <c r="C25" s="22"/>
      <c r="D25" s="22"/>
      <c r="E25" s="22"/>
      <c r="F25" s="22"/>
      <c r="G25" s="22"/>
      <c r="H25" s="22"/>
      <c r="I25" s="22"/>
      <c r="J25" s="22"/>
      <c r="K25" s="26"/>
      <c r="M25" s="50"/>
      <c r="N25" s="50"/>
      <c r="O25" s="24"/>
    </row>
    <row r="26" spans="1:15" ht="15" customHeight="1">
      <c r="A26" s="25"/>
      <c r="B26" s="22"/>
      <c r="C26" s="22"/>
      <c r="D26" s="22"/>
      <c r="E26" s="22"/>
      <c r="F26" s="22"/>
      <c r="G26" s="22"/>
      <c r="H26" s="22"/>
      <c r="I26" s="22"/>
      <c r="J26" s="22"/>
      <c r="K26" s="26"/>
      <c r="M26" s="24"/>
      <c r="N26" s="24"/>
      <c r="O26" s="24"/>
    </row>
    <row r="27" spans="1:15" ht="15" customHeight="1" thickBo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8"/>
      <c r="M27" s="24"/>
      <c r="N27" s="24"/>
      <c r="O27" s="24"/>
    </row>
    <row r="28" spans="1:15" ht="15" customHeight="1">
      <c r="M28" s="24"/>
      <c r="N28" s="24"/>
      <c r="O28" s="24"/>
    </row>
    <row r="29" spans="1:15" ht="15" customHeight="1">
      <c r="M29" s="24"/>
      <c r="N29" s="24"/>
      <c r="O29" s="24"/>
    </row>
    <row r="30" spans="1:15" ht="15" customHeight="1">
      <c r="M30" s="24"/>
      <c r="N30" s="24"/>
      <c r="O30" s="24"/>
    </row>
    <row r="31" spans="1:15" ht="15" customHeight="1">
      <c r="M31" s="24"/>
      <c r="N31" s="24"/>
      <c r="O31" s="24"/>
    </row>
    <row r="32" spans="1:15" ht="15" customHeight="1">
      <c r="M32" s="24"/>
      <c r="N32" s="24"/>
      <c r="O32" s="24"/>
    </row>
    <row r="33" spans="13:15" ht="15" customHeight="1">
      <c r="M33" s="24"/>
      <c r="N33" s="24"/>
      <c r="O33" s="24"/>
    </row>
    <row r="34" spans="13:15" ht="15" customHeight="1">
      <c r="M34" s="24"/>
      <c r="N34" s="24"/>
      <c r="O34" s="24"/>
    </row>
    <row r="35" spans="13:15" ht="15" customHeight="1">
      <c r="M35" s="24"/>
      <c r="N35" s="24"/>
      <c r="O35" s="24"/>
    </row>
    <row r="36" spans="13:15" ht="15" customHeight="1">
      <c r="M36" s="24"/>
      <c r="N36" s="24"/>
      <c r="O36" s="24"/>
    </row>
    <row r="37" spans="13:15" ht="15" customHeight="1">
      <c r="M37" s="24"/>
      <c r="N37" s="24"/>
      <c r="O37" s="24"/>
    </row>
    <row r="38" spans="13:15" ht="15" customHeight="1">
      <c r="M38" s="24"/>
      <c r="N38" s="24"/>
      <c r="O38" s="24"/>
    </row>
    <row r="39" spans="13:15" ht="15" customHeight="1">
      <c r="M39" s="24"/>
      <c r="N39" s="24"/>
      <c r="O39" s="24"/>
    </row>
    <row r="40" spans="13:15" ht="15" customHeight="1">
      <c r="M40" s="24"/>
      <c r="N40" s="24"/>
      <c r="O40" s="24"/>
    </row>
    <row r="41" spans="13:15" ht="15" customHeight="1">
      <c r="M41" s="24"/>
      <c r="N41" s="24"/>
      <c r="O41" s="24"/>
    </row>
    <row r="42" spans="13:15" ht="15" customHeight="1">
      <c r="M42" s="24"/>
      <c r="N42" s="24"/>
      <c r="O42" s="24"/>
    </row>
    <row r="43" spans="13:15" ht="15" customHeight="1">
      <c r="M43" s="24"/>
      <c r="N43" s="24"/>
      <c r="O43" s="24"/>
    </row>
    <row r="44" spans="13:15" ht="15" customHeight="1">
      <c r="M44" s="24"/>
      <c r="N44" s="24"/>
      <c r="O44" s="24"/>
    </row>
    <row r="45" spans="13:15" ht="15" customHeight="1">
      <c r="M45" s="24"/>
      <c r="N45" s="24"/>
      <c r="O45" s="24"/>
    </row>
    <row r="46" spans="13:15" ht="15" customHeight="1">
      <c r="M46" s="24"/>
      <c r="N46" s="24"/>
      <c r="O46" s="24"/>
    </row>
    <row r="47" spans="13:15" ht="15" customHeight="1">
      <c r="M47" s="24"/>
      <c r="N47" s="24"/>
      <c r="O47" s="24"/>
    </row>
    <row r="48" spans="13:15" ht="15" customHeight="1">
      <c r="M48" s="24"/>
      <c r="N48" s="24"/>
      <c r="O48" s="24"/>
    </row>
    <row r="49" spans="13:15" ht="15" customHeight="1">
      <c r="M49" s="24"/>
      <c r="N49" s="24"/>
      <c r="O49" s="24"/>
    </row>
    <row r="50" spans="13:15" ht="15" customHeight="1">
      <c r="M50" s="24"/>
      <c r="N50" s="24"/>
      <c r="O50" s="24"/>
    </row>
    <row r="51" spans="13:15" ht="15" customHeight="1">
      <c r="M51" s="24"/>
      <c r="N51" s="24"/>
      <c r="O51" s="24"/>
    </row>
    <row r="52" spans="13:15" ht="15" customHeight="1">
      <c r="M52" s="24"/>
      <c r="N52" s="24"/>
      <c r="O52" s="24"/>
    </row>
    <row r="53" spans="13:15" ht="15" customHeight="1">
      <c r="M53" s="24"/>
      <c r="N53" s="24"/>
      <c r="O53" s="24"/>
    </row>
    <row r="54" spans="13:15" ht="15" customHeight="1">
      <c r="M54" s="24"/>
      <c r="N54" s="24"/>
      <c r="O54" s="24"/>
    </row>
    <row r="55" spans="13:15" ht="15" customHeight="1">
      <c r="M55" s="24"/>
      <c r="N55" s="24"/>
      <c r="O55" s="24"/>
    </row>
    <row r="56" spans="13:15" ht="15" customHeight="1">
      <c r="M56" s="24"/>
      <c r="N56" s="24"/>
      <c r="O56" s="24"/>
    </row>
    <row r="57" spans="13:15" ht="15" customHeight="1">
      <c r="M57" s="24"/>
      <c r="N57" s="24"/>
      <c r="O57" s="24"/>
    </row>
    <row r="58" spans="13:15" ht="15" customHeight="1">
      <c r="M58" s="24"/>
      <c r="N58" s="24"/>
      <c r="O58" s="24"/>
    </row>
    <row r="59" spans="13:15" ht="15" customHeight="1">
      <c r="M59" s="24"/>
      <c r="N59" s="24"/>
      <c r="O59" s="24"/>
    </row>
    <row r="60" spans="13:15" ht="15" customHeight="1">
      <c r="M60" s="24"/>
      <c r="N60" s="24"/>
      <c r="O60" s="24"/>
    </row>
    <row r="61" spans="13:15" ht="15" customHeight="1">
      <c r="M61" s="24"/>
      <c r="N61" s="24"/>
      <c r="O61" s="24"/>
    </row>
    <row r="62" spans="13:15" ht="15" customHeight="1">
      <c r="M62" s="24"/>
      <c r="N62" s="24"/>
      <c r="O62" s="24"/>
    </row>
    <row r="63" spans="13:15" ht="15" customHeight="1">
      <c r="M63" s="24"/>
      <c r="N63" s="24"/>
      <c r="O63" s="24"/>
    </row>
    <row r="64" spans="13:15" ht="15" customHeight="1">
      <c r="M64" s="24"/>
      <c r="N64" s="24"/>
      <c r="O64" s="24"/>
    </row>
    <row r="65" spans="13:15" ht="15" customHeight="1">
      <c r="M65" s="24"/>
      <c r="N65" s="24"/>
      <c r="O65" s="24"/>
    </row>
    <row r="66" spans="13:15" ht="15" customHeight="1">
      <c r="M66" s="24"/>
      <c r="N66" s="24"/>
      <c r="O66" s="24"/>
    </row>
    <row r="67" spans="13:15" ht="15" customHeight="1">
      <c r="M67" s="24"/>
      <c r="N67" s="24"/>
      <c r="O67" s="24"/>
    </row>
    <row r="68" spans="13:15" ht="15" customHeight="1">
      <c r="M68" s="24"/>
      <c r="N68" s="24"/>
      <c r="O68" s="24"/>
    </row>
    <row r="69" spans="13:15" ht="15" customHeight="1">
      <c r="M69" s="24"/>
      <c r="N69" s="24"/>
      <c r="O69" s="24"/>
    </row>
    <row r="70" spans="13:15" ht="15" customHeight="1">
      <c r="M70" s="24"/>
      <c r="N70" s="24"/>
      <c r="O70" s="24"/>
    </row>
    <row r="71" spans="13:15" ht="15" customHeight="1">
      <c r="M71" s="24"/>
      <c r="N71" s="24"/>
      <c r="O71" s="24"/>
    </row>
    <row r="72" spans="13:15" ht="15" customHeight="1">
      <c r="M72" s="24"/>
      <c r="N72" s="24"/>
      <c r="O72" s="24"/>
    </row>
    <row r="73" spans="13:15" ht="15" customHeight="1">
      <c r="M73" s="24"/>
      <c r="N73" s="24"/>
      <c r="O73" s="24"/>
    </row>
    <row r="74" spans="13:15" ht="15" customHeight="1">
      <c r="M74" s="24"/>
      <c r="N74" s="24"/>
      <c r="O74" s="24"/>
    </row>
    <row r="75" spans="13:15" ht="15" customHeight="1">
      <c r="M75" s="24"/>
      <c r="N75" s="24"/>
      <c r="O75" s="24"/>
    </row>
    <row r="76" spans="13:15" ht="15" customHeight="1">
      <c r="M76" s="24"/>
      <c r="N76" s="24"/>
      <c r="O76" s="24"/>
    </row>
    <row r="77" spans="13:15" ht="15" customHeight="1">
      <c r="M77" s="24"/>
      <c r="N77" s="24"/>
      <c r="O77" s="24"/>
    </row>
    <row r="78" spans="13:15" ht="15" customHeight="1">
      <c r="M78" s="24"/>
      <c r="N78" s="24"/>
      <c r="O78" s="24"/>
    </row>
    <row r="79" spans="13:15" ht="15" customHeight="1">
      <c r="M79" s="24"/>
      <c r="N79" s="24"/>
      <c r="O79" s="24"/>
    </row>
    <row r="80" spans="13:15" ht="15" customHeight="1">
      <c r="M80" s="24"/>
      <c r="N80" s="24"/>
      <c r="O80" s="24"/>
    </row>
    <row r="81" spans="13:15" ht="15" customHeight="1">
      <c r="M81" s="24"/>
      <c r="N81" s="24"/>
      <c r="O81" s="24"/>
    </row>
    <row r="82" spans="13:15" ht="15" customHeight="1">
      <c r="M82" s="24"/>
      <c r="N82" s="24"/>
      <c r="O82" s="24"/>
    </row>
    <row r="83" spans="13:15" ht="15" customHeight="1">
      <c r="M83" s="24"/>
      <c r="N83" s="24"/>
      <c r="O83" s="24"/>
    </row>
    <row r="84" spans="13:15" ht="15" customHeight="1">
      <c r="M84" s="24"/>
      <c r="N84" s="24"/>
      <c r="O84" s="24"/>
    </row>
    <row r="85" spans="13:15" ht="15" customHeight="1">
      <c r="M85" s="24"/>
      <c r="N85" s="24"/>
      <c r="O85" s="24"/>
    </row>
  </sheetData>
  <mergeCells count="1">
    <mergeCell ref="J1:K1"/>
  </mergeCells>
  <conditionalFormatting sqref="B1">
    <cfRule type="cellIs" dxfId="94" priority="1" operator="equal">
      <formula>"Incomplete"</formula>
    </cfRule>
    <cfRule type="cellIs" dxfId="93" priority="2" operator="equal">
      <formula>"Flag for Review"</formula>
    </cfRule>
    <cfRule type="cellIs" dxfId="92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J1" location="'Point Grid'!A8" display="Return to Point Grid"/>
    <hyperlink ref="J1:K1" location="'Point Grid'!A1" display="Return to Point Grid"/>
  </hyperlinks>
  <pageMargins left="0.7" right="0.7" top="0.75" bottom="0.75" header="0.3" footer="0.3"/>
  <pageSetup orientation="portrait" r:id="rId1"/>
  <headerFooter>
    <oddFooter>&amp;L&amp;1#&amp;"Calibri"&amp;10&amp;K000000Internal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M78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10" width="10.7109375" style="24" customWidth="1"/>
    <col min="11" max="16384" width="9.140625" style="24"/>
  </cols>
  <sheetData>
    <row r="1" spans="1:13" ht="15" customHeight="1">
      <c r="A1" s="7">
        <v>2</v>
      </c>
      <c r="B1" s="32" t="s">
        <v>12</v>
      </c>
      <c r="C1" s="23"/>
      <c r="D1" s="23"/>
      <c r="E1" s="23"/>
      <c r="F1" s="23"/>
      <c r="G1" s="23"/>
      <c r="H1" s="23"/>
      <c r="I1" s="469" t="s">
        <v>30</v>
      </c>
      <c r="J1" s="471"/>
      <c r="L1" s="50" t="s">
        <v>316</v>
      </c>
      <c r="M1"/>
    </row>
    <row r="2" spans="1:13" ht="15" customHeight="1">
      <c r="A2" s="25"/>
      <c r="B2" s="22"/>
      <c r="C2" s="22"/>
      <c r="D2" s="22"/>
      <c r="E2" s="22"/>
      <c r="F2" s="22"/>
      <c r="G2" s="22"/>
      <c r="H2" s="22"/>
      <c r="I2" s="22"/>
      <c r="J2" s="26"/>
      <c r="L2"/>
      <c r="M2"/>
    </row>
    <row r="3" spans="1:13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L3" t="s">
        <v>304</v>
      </c>
      <c r="M3" t="s">
        <v>305</v>
      </c>
    </row>
    <row r="4" spans="1:13" ht="15" customHeight="1">
      <c r="A4" s="9">
        <f>INDEX('Point Grid'!B:B,MATCH($A$1,'Point Grid'!A:A,0))</f>
        <v>2</v>
      </c>
      <c r="B4" s="49" t="s">
        <v>306</v>
      </c>
      <c r="C4" s="22"/>
      <c r="D4" s="22"/>
      <c r="E4" s="22"/>
      <c r="F4" s="22"/>
      <c r="G4" s="22"/>
      <c r="H4" s="22"/>
      <c r="I4" s="22"/>
      <c r="J4" s="26"/>
      <c r="L4"/>
      <c r="M4" t="s">
        <v>307</v>
      </c>
    </row>
    <row r="5" spans="1:13" ht="15" customHeight="1">
      <c r="A5" s="25"/>
      <c r="B5" s="49" t="s">
        <v>308</v>
      </c>
      <c r="C5" s="22"/>
      <c r="D5" s="22"/>
      <c r="E5" s="22"/>
      <c r="F5" s="22"/>
      <c r="G5" s="22"/>
      <c r="H5" s="22"/>
      <c r="I5" s="22"/>
      <c r="J5" s="26"/>
      <c r="L5"/>
      <c r="M5"/>
    </row>
    <row r="6" spans="1:13" ht="15" customHeight="1">
      <c r="A6" s="25"/>
      <c r="B6" s="49"/>
      <c r="C6" s="22"/>
      <c r="D6" s="22"/>
      <c r="E6" s="22"/>
      <c r="F6" s="22"/>
      <c r="G6" s="22"/>
      <c r="H6" s="22"/>
      <c r="I6" s="22"/>
      <c r="J6" s="26"/>
      <c r="L6" t="s">
        <v>309</v>
      </c>
      <c r="M6" t="s">
        <v>310</v>
      </c>
    </row>
    <row r="7" spans="1:13" ht="15" customHeight="1">
      <c r="A7" s="29" t="s">
        <v>2</v>
      </c>
      <c r="B7" s="49" t="s">
        <v>311</v>
      </c>
      <c r="C7" s="22"/>
      <c r="D7" s="22"/>
      <c r="E7" s="22"/>
      <c r="F7" s="22"/>
      <c r="G7" s="22"/>
      <c r="H7" s="22"/>
      <c r="I7" s="22"/>
      <c r="J7" s="26"/>
      <c r="L7"/>
      <c r="M7"/>
    </row>
    <row r="8" spans="1:13" ht="15" customHeight="1" thickBot="1">
      <c r="A8" s="9">
        <f>INDEX('Point Grid'!$C$8:$I$35,MATCH($A$1,'Point Grid'!$A$8:$A$35,0),MATCH(A7,'Point Grid'!$C$7:$I$7,0))</f>
        <v>1</v>
      </c>
      <c r="B8" s="49"/>
      <c r="C8" s="22"/>
      <c r="D8" s="22"/>
      <c r="E8" s="22"/>
      <c r="F8" s="22"/>
      <c r="G8" s="22"/>
      <c r="H8" s="22"/>
      <c r="I8" s="22"/>
      <c r="J8" s="26"/>
      <c r="L8" t="s">
        <v>312</v>
      </c>
      <c r="M8" t="s">
        <v>313</v>
      </c>
    </row>
    <row r="9" spans="1:13" ht="15" customHeight="1" thickBot="1">
      <c r="A9" s="5"/>
      <c r="B9" s="49"/>
      <c r="C9" s="22"/>
      <c r="D9" s="22"/>
      <c r="E9" s="22"/>
      <c r="F9" s="22"/>
      <c r="G9" s="22"/>
      <c r="H9" s="22"/>
      <c r="I9" s="22"/>
      <c r="J9" s="26"/>
      <c r="L9"/>
      <c r="M9"/>
    </row>
    <row r="10" spans="1:13" ht="15" customHeight="1">
      <c r="A10" s="31"/>
      <c r="B10" s="49"/>
      <c r="C10" s="22"/>
      <c r="D10" s="22"/>
      <c r="E10" s="22"/>
      <c r="F10" s="22"/>
      <c r="G10" s="22"/>
      <c r="H10" s="22"/>
      <c r="I10" s="22"/>
      <c r="J10" s="26"/>
      <c r="L10"/>
      <c r="M10"/>
    </row>
    <row r="11" spans="1:13" ht="15" customHeight="1">
      <c r="A11" s="29" t="s">
        <v>3</v>
      </c>
      <c r="B11" s="49" t="s">
        <v>314</v>
      </c>
      <c r="C11" s="22"/>
      <c r="D11" s="22"/>
      <c r="E11" s="22"/>
      <c r="F11" s="22"/>
      <c r="G11" s="22"/>
      <c r="H11" s="22"/>
      <c r="I11" s="22"/>
      <c r="J11" s="26"/>
      <c r="L11"/>
      <c r="M11"/>
    </row>
    <row r="12" spans="1:13" ht="15" customHeight="1" thickBot="1">
      <c r="A12" s="9">
        <f>INDEX('Point Grid'!$C$8:$I$35,MATCH($A$1,'Point Grid'!$A$8:$A$35,0),MATCH(A11,'Point Grid'!$C$7:$I$7,0))</f>
        <v>0.5</v>
      </c>
      <c r="B12" s="22"/>
      <c r="C12" s="22"/>
      <c r="D12" s="22"/>
      <c r="E12" s="22"/>
      <c r="F12" s="22"/>
      <c r="G12" s="22"/>
      <c r="H12" s="22"/>
      <c r="I12" s="22"/>
      <c r="J12" s="26"/>
      <c r="L12"/>
      <c r="M12"/>
    </row>
    <row r="13" spans="1:13" ht="15" customHeight="1" thickBot="1">
      <c r="A13" s="5"/>
      <c r="B13" s="49"/>
      <c r="C13" s="22"/>
      <c r="D13" s="22"/>
      <c r="E13" s="22"/>
      <c r="F13" s="22"/>
      <c r="G13" s="22"/>
      <c r="H13" s="22"/>
      <c r="I13" s="22"/>
      <c r="J13" s="26"/>
      <c r="L13"/>
      <c r="M13"/>
    </row>
    <row r="14" spans="1:13" ht="15" customHeight="1">
      <c r="A14" s="31"/>
      <c r="B14" s="49"/>
      <c r="C14" s="22"/>
      <c r="D14" s="22"/>
      <c r="E14" s="22"/>
      <c r="F14" s="22"/>
      <c r="G14" s="22"/>
      <c r="H14" s="22"/>
      <c r="I14" s="22"/>
      <c r="J14" s="26"/>
      <c r="L14"/>
      <c r="M14"/>
    </row>
    <row r="15" spans="1:13" ht="15" customHeight="1">
      <c r="A15" s="29" t="s">
        <v>4</v>
      </c>
      <c r="B15" s="49" t="s">
        <v>315</v>
      </c>
      <c r="C15" s="22"/>
      <c r="D15" s="22"/>
      <c r="E15" s="22"/>
      <c r="F15" s="22"/>
      <c r="G15" s="22"/>
      <c r="H15" s="22"/>
      <c r="I15" s="22"/>
      <c r="J15" s="26"/>
      <c r="L15"/>
      <c r="M15"/>
    </row>
    <row r="16" spans="1:13" ht="15" customHeight="1" thickBot="1">
      <c r="A16" s="9">
        <f>INDEX('Point Grid'!$C$8:$I$35,MATCH($A$1,'Point Grid'!$A$8:$A$35,0),MATCH(A15,'Point Grid'!$C$7:$I$7,0))</f>
        <v>0.5</v>
      </c>
      <c r="B16" s="49"/>
      <c r="C16" s="22"/>
      <c r="D16" s="22"/>
      <c r="E16" s="22"/>
      <c r="F16" s="22"/>
      <c r="G16" s="22"/>
      <c r="H16" s="22"/>
      <c r="I16" s="22"/>
      <c r="J16" s="26"/>
      <c r="L16"/>
      <c r="M16"/>
    </row>
    <row r="17" spans="1:13" ht="15" customHeight="1" thickBot="1">
      <c r="A17" s="5"/>
      <c r="B17" s="22"/>
      <c r="C17" s="22"/>
      <c r="D17" s="22"/>
      <c r="E17" s="22"/>
      <c r="F17" s="22"/>
      <c r="G17" s="22"/>
      <c r="H17" s="22"/>
      <c r="I17" s="22"/>
      <c r="J17" s="26"/>
      <c r="L17"/>
      <c r="M17"/>
    </row>
    <row r="18" spans="1:13" ht="15" customHeight="1">
      <c r="A18" s="25"/>
      <c r="B18" s="22"/>
      <c r="C18" s="22"/>
      <c r="D18" s="22"/>
      <c r="E18" s="22"/>
      <c r="F18" s="22"/>
      <c r="G18" s="22"/>
      <c r="H18" s="22"/>
      <c r="I18" s="22"/>
      <c r="J18" s="26"/>
      <c r="L18"/>
      <c r="M18"/>
    </row>
    <row r="19" spans="1:13" ht="15" customHeight="1" thickBot="1">
      <c r="A19" s="27"/>
      <c r="B19" s="27"/>
      <c r="C19" s="27"/>
      <c r="D19" s="27"/>
      <c r="E19" s="27"/>
      <c r="F19" s="27"/>
      <c r="G19" s="27"/>
      <c r="H19" s="27"/>
      <c r="I19" s="27"/>
      <c r="J19" s="28"/>
      <c r="L19"/>
      <c r="M19"/>
    </row>
    <row r="20" spans="1:13" ht="15" customHeight="1">
      <c r="L20"/>
      <c r="M20"/>
    </row>
    <row r="21" spans="1:13" ht="15" customHeight="1">
      <c r="L21"/>
      <c r="M21"/>
    </row>
    <row r="22" spans="1:13" ht="15" customHeight="1">
      <c r="L22"/>
      <c r="M22"/>
    </row>
    <row r="23" spans="1:13" ht="15" customHeight="1">
      <c r="L23"/>
      <c r="M23"/>
    </row>
    <row r="24" spans="1:13" ht="15" customHeight="1">
      <c r="L24"/>
      <c r="M24"/>
    </row>
    <row r="25" spans="1:13" ht="15" customHeight="1">
      <c r="L25"/>
      <c r="M25"/>
    </row>
    <row r="26" spans="1:13" ht="15" customHeight="1">
      <c r="L26"/>
      <c r="M26"/>
    </row>
    <row r="27" spans="1:13" ht="15" customHeight="1">
      <c r="L27"/>
      <c r="M27"/>
    </row>
    <row r="28" spans="1:13" ht="15" customHeight="1">
      <c r="L28"/>
      <c r="M28"/>
    </row>
    <row r="29" spans="1:13" ht="15" customHeight="1">
      <c r="L29"/>
      <c r="M29"/>
    </row>
    <row r="30" spans="1:13" ht="15" customHeight="1">
      <c r="L30"/>
      <c r="M30"/>
    </row>
    <row r="31" spans="1:13" ht="15" customHeight="1">
      <c r="L31"/>
      <c r="M31"/>
    </row>
    <row r="32" spans="1:13" ht="15" customHeight="1">
      <c r="L32"/>
      <c r="M32"/>
    </row>
    <row r="33" spans="12:13" ht="15" customHeight="1">
      <c r="L33"/>
      <c r="M33"/>
    </row>
    <row r="34" spans="12:13" ht="15" customHeight="1">
      <c r="L34"/>
      <c r="M34"/>
    </row>
    <row r="35" spans="12:13" ht="15" customHeight="1">
      <c r="L35"/>
      <c r="M35"/>
    </row>
    <row r="36" spans="12:13" ht="15" customHeight="1">
      <c r="L36"/>
      <c r="M36"/>
    </row>
    <row r="37" spans="12:13" ht="15" customHeight="1">
      <c r="L37"/>
      <c r="M37"/>
    </row>
    <row r="38" spans="12:13" ht="15" customHeight="1">
      <c r="L38"/>
      <c r="M38"/>
    </row>
    <row r="39" spans="12:13" ht="15" customHeight="1">
      <c r="L39"/>
      <c r="M39"/>
    </row>
    <row r="40" spans="12:13" ht="15" customHeight="1">
      <c r="L40"/>
      <c r="M40"/>
    </row>
    <row r="41" spans="12:13" ht="15" customHeight="1">
      <c r="L41"/>
      <c r="M41"/>
    </row>
    <row r="42" spans="12:13" ht="15" customHeight="1">
      <c r="L42"/>
      <c r="M42"/>
    </row>
    <row r="43" spans="12:13" ht="15" customHeight="1">
      <c r="L43"/>
      <c r="M43"/>
    </row>
    <row r="44" spans="12:13" ht="15" customHeight="1">
      <c r="L44"/>
      <c r="M44"/>
    </row>
    <row r="45" spans="12:13" ht="15" customHeight="1">
      <c r="L45"/>
      <c r="M45"/>
    </row>
    <row r="46" spans="12:13" ht="15" customHeight="1">
      <c r="L46"/>
      <c r="M46"/>
    </row>
    <row r="47" spans="12:13" ht="15" customHeight="1">
      <c r="L47"/>
      <c r="M47"/>
    </row>
    <row r="48" spans="12:13" ht="15" customHeight="1">
      <c r="L48"/>
      <c r="M48"/>
    </row>
    <row r="49" spans="12:13" ht="15" customHeight="1">
      <c r="L49"/>
      <c r="M49"/>
    </row>
    <row r="50" spans="12:13" ht="15" customHeight="1">
      <c r="L50"/>
      <c r="M50"/>
    </row>
    <row r="51" spans="12:13" ht="15" customHeight="1">
      <c r="L51"/>
      <c r="M51"/>
    </row>
    <row r="52" spans="12:13" ht="15" customHeight="1">
      <c r="L52"/>
      <c r="M52"/>
    </row>
    <row r="53" spans="12:13" ht="15" customHeight="1">
      <c r="L53"/>
      <c r="M53"/>
    </row>
    <row r="54" spans="12:13" ht="15" customHeight="1">
      <c r="L54"/>
      <c r="M54"/>
    </row>
    <row r="55" spans="12:13" ht="15" customHeight="1">
      <c r="L55"/>
      <c r="M55"/>
    </row>
    <row r="56" spans="12:13" ht="15" customHeight="1">
      <c r="L56"/>
      <c r="M56"/>
    </row>
    <row r="57" spans="12:13" ht="15" customHeight="1">
      <c r="L57"/>
      <c r="M57"/>
    </row>
    <row r="58" spans="12:13" ht="15" customHeight="1">
      <c r="L58"/>
      <c r="M58"/>
    </row>
    <row r="59" spans="12:13" ht="15" customHeight="1">
      <c r="L59"/>
      <c r="M59"/>
    </row>
    <row r="60" spans="12:13" ht="15" customHeight="1">
      <c r="L60"/>
      <c r="M60"/>
    </row>
    <row r="61" spans="12:13" ht="15" customHeight="1">
      <c r="L61"/>
      <c r="M61"/>
    </row>
    <row r="62" spans="12:13" ht="15" customHeight="1">
      <c r="L62"/>
      <c r="M62"/>
    </row>
    <row r="63" spans="12:13" ht="15" customHeight="1">
      <c r="L63"/>
      <c r="M63"/>
    </row>
    <row r="64" spans="12:13" ht="15" customHeight="1">
      <c r="L64"/>
      <c r="M64"/>
    </row>
    <row r="65" spans="12:13" ht="15" customHeight="1">
      <c r="L65"/>
      <c r="M65"/>
    </row>
    <row r="66" spans="12:13" ht="15" customHeight="1">
      <c r="L66"/>
      <c r="M66"/>
    </row>
    <row r="67" spans="12:13" ht="15" customHeight="1">
      <c r="L67"/>
      <c r="M67"/>
    </row>
    <row r="68" spans="12:13" ht="15" customHeight="1">
      <c r="L68"/>
      <c r="M68"/>
    </row>
    <row r="69" spans="12:13" ht="15" customHeight="1">
      <c r="L69"/>
      <c r="M69"/>
    </row>
    <row r="70" spans="12:13" ht="15" customHeight="1">
      <c r="L70"/>
      <c r="M70"/>
    </row>
    <row r="71" spans="12:13" ht="15" customHeight="1">
      <c r="L71"/>
      <c r="M71"/>
    </row>
    <row r="72" spans="12:13" ht="15" customHeight="1">
      <c r="L72"/>
      <c r="M72"/>
    </row>
    <row r="73" spans="12:13" ht="15" customHeight="1">
      <c r="L73"/>
      <c r="M73"/>
    </row>
    <row r="74" spans="12:13" ht="15" customHeight="1">
      <c r="L74"/>
      <c r="M74"/>
    </row>
    <row r="75" spans="12:13" ht="15" customHeight="1">
      <c r="L75"/>
      <c r="M75"/>
    </row>
    <row r="76" spans="12:13" ht="15" customHeight="1">
      <c r="L76"/>
      <c r="M76"/>
    </row>
    <row r="77" spans="12:13" ht="15" customHeight="1">
      <c r="L77"/>
      <c r="M77"/>
    </row>
    <row r="78" spans="12:13" ht="15" customHeight="1">
      <c r="L78"/>
      <c r="M78"/>
    </row>
  </sheetData>
  <mergeCells count="1">
    <mergeCell ref="I1:J1"/>
  </mergeCells>
  <conditionalFormatting sqref="B1">
    <cfRule type="cellIs" dxfId="91" priority="1" operator="equal">
      <formula>"Incomplete"</formula>
    </cfRule>
    <cfRule type="cellIs" dxfId="90" priority="2" operator="equal">
      <formula>"Flag for Review"</formula>
    </cfRule>
    <cfRule type="cellIs" dxfId="89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</hyperlinks>
  <pageMargins left="0.7" right="0.7" top="0.75" bottom="0.75" header="0.3" footer="0.3"/>
  <pageSetup orientation="portrait" horizontalDpi="300" verticalDpi="300" r:id="rId1"/>
  <headerFooter>
    <oddFooter>&amp;L&amp;1#&amp;"Calibri"&amp;10&amp;K000000Internal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O86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6384" width="9.140625" style="24"/>
  </cols>
  <sheetData>
    <row r="1" spans="1:15">
      <c r="A1" s="7">
        <v>3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  <c r="L1"/>
      <c r="M1"/>
      <c r="N1"/>
      <c r="O1"/>
    </row>
    <row r="2" spans="1:1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</row>
    <row r="3" spans="1:15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t="s">
        <v>304</v>
      </c>
      <c r="L3" t="s">
        <v>948</v>
      </c>
      <c r="M3"/>
      <c r="N3"/>
      <c r="O3"/>
    </row>
    <row r="4" spans="1:15" ht="15" customHeight="1">
      <c r="A4" s="9">
        <f>INDEX('Point Grid'!B:B,MATCH($A$1,'Point Grid'!A:A,0))</f>
        <v>2.5</v>
      </c>
      <c r="B4" s="49" t="s">
        <v>317</v>
      </c>
      <c r="C4" s="49"/>
      <c r="D4" s="49"/>
      <c r="E4" s="49"/>
      <c r="F4" s="49"/>
      <c r="G4" s="49"/>
      <c r="H4" s="49"/>
      <c r="I4" s="53"/>
      <c r="K4"/>
      <c r="L4"/>
      <c r="M4"/>
      <c r="N4"/>
      <c r="O4"/>
    </row>
    <row r="5" spans="1:15" ht="15" customHeight="1">
      <c r="A5" s="25"/>
      <c r="B5" s="49"/>
      <c r="C5" s="49"/>
      <c r="D5" s="49"/>
      <c r="E5" s="49"/>
      <c r="F5" s="49"/>
      <c r="G5" s="49"/>
      <c r="H5" s="49"/>
      <c r="I5" s="53"/>
      <c r="K5" t="s">
        <v>309</v>
      </c>
      <c r="L5" t="s">
        <v>318</v>
      </c>
      <c r="M5"/>
      <c r="N5"/>
      <c r="O5"/>
    </row>
    <row r="6" spans="1:15" ht="15" customHeight="1">
      <c r="A6" s="29" t="s">
        <v>2</v>
      </c>
      <c r="B6" s="49" t="s">
        <v>319</v>
      </c>
      <c r="C6" s="49"/>
      <c r="D6" s="49"/>
      <c r="E6" s="49"/>
      <c r="F6" s="49"/>
      <c r="G6" s="49"/>
      <c r="H6" s="49"/>
      <c r="I6" s="53"/>
      <c r="K6"/>
      <c r="L6"/>
      <c r="M6"/>
      <c r="N6"/>
      <c r="O6"/>
    </row>
    <row r="7" spans="1:15" ht="15" customHeight="1" thickBot="1">
      <c r="A7" s="9">
        <f>INDEX('Point Grid'!$C$8:$I$35,MATCH($A$1,'Point Grid'!$A$8:$A$35,0),MATCH(A6,'Point Grid'!$C$7:$I$7,0))</f>
        <v>0.5</v>
      </c>
      <c r="B7" s="49" t="s">
        <v>320</v>
      </c>
      <c r="C7" s="49"/>
      <c r="D7" s="49"/>
      <c r="E7" s="49"/>
      <c r="F7" s="49"/>
      <c r="G7" s="49"/>
      <c r="H7" s="49"/>
      <c r="I7" s="53"/>
      <c r="K7" t="s">
        <v>312</v>
      </c>
      <c r="L7" t="s">
        <v>964</v>
      </c>
      <c r="M7"/>
      <c r="N7"/>
      <c r="O7"/>
    </row>
    <row r="8" spans="1:15" ht="15" customHeight="1" thickBot="1">
      <c r="A8" s="5"/>
      <c r="B8" s="49" t="s">
        <v>321</v>
      </c>
      <c r="C8" s="49"/>
      <c r="D8" s="49"/>
      <c r="E8" s="49"/>
      <c r="F8" s="49"/>
      <c r="G8" s="49"/>
      <c r="H8" s="49"/>
      <c r="I8" s="53"/>
      <c r="K8"/>
      <c r="L8"/>
      <c r="M8"/>
      <c r="N8"/>
      <c r="O8"/>
    </row>
    <row r="9" spans="1:15" ht="15" customHeight="1">
      <c r="A9" s="31"/>
      <c r="B9" s="49"/>
      <c r="C9" s="49"/>
      <c r="D9" s="49"/>
      <c r="E9" s="49"/>
      <c r="F9" s="49"/>
      <c r="G9" s="49"/>
      <c r="H9" s="49"/>
      <c r="I9" s="53"/>
      <c r="K9" t="s">
        <v>322</v>
      </c>
      <c r="L9" t="s">
        <v>949</v>
      </c>
      <c r="M9"/>
      <c r="N9"/>
      <c r="O9"/>
    </row>
    <row r="10" spans="1:15" ht="15" customHeight="1">
      <c r="A10" s="29" t="s">
        <v>3</v>
      </c>
      <c r="B10" s="49" t="s">
        <v>323</v>
      </c>
      <c r="C10" s="49"/>
      <c r="D10" s="49"/>
      <c r="E10" s="49"/>
      <c r="F10" s="49"/>
      <c r="G10" s="49"/>
      <c r="H10" s="49"/>
      <c r="I10" s="53"/>
      <c r="K10"/>
      <c r="L10"/>
      <c r="M10"/>
      <c r="N10"/>
      <c r="O10"/>
    </row>
    <row r="11" spans="1:15" ht="15" customHeight="1" thickBot="1">
      <c r="A11" s="9">
        <f>INDEX('Point Grid'!$C$8:$I$35,MATCH($A$1,'Point Grid'!$A$8:$A$35,0),MATCH(A10,'Point Grid'!$C$7:$I$7,0))</f>
        <v>0.5</v>
      </c>
      <c r="B11" s="49" t="s">
        <v>324</v>
      </c>
      <c r="C11" s="49"/>
      <c r="D11" s="49"/>
      <c r="E11" s="49"/>
      <c r="F11" s="49"/>
      <c r="G11" s="49"/>
      <c r="H11" s="49"/>
      <c r="I11" s="53"/>
      <c r="K11" t="s">
        <v>325</v>
      </c>
      <c r="L11" t="s">
        <v>326</v>
      </c>
      <c r="M11"/>
      <c r="N11"/>
      <c r="O11"/>
    </row>
    <row r="12" spans="1:15" ht="15" customHeight="1" thickBot="1">
      <c r="A12" s="5"/>
      <c r="B12" s="49" t="s">
        <v>327</v>
      </c>
      <c r="C12" s="49"/>
      <c r="D12" s="49"/>
      <c r="E12" s="49"/>
      <c r="F12" s="49"/>
      <c r="G12" s="49"/>
      <c r="H12" s="49"/>
      <c r="I12" s="53"/>
      <c r="K12"/>
      <c r="L12"/>
      <c r="M12"/>
      <c r="N12"/>
      <c r="O12"/>
    </row>
    <row r="13" spans="1:15" ht="15" customHeight="1">
      <c r="A13" s="31"/>
      <c r="B13" s="49"/>
      <c r="C13" s="49"/>
      <c r="D13" s="49"/>
      <c r="E13" s="49"/>
      <c r="F13" s="49"/>
      <c r="G13" s="49"/>
      <c r="H13" s="49"/>
      <c r="I13" s="53"/>
      <c r="K13"/>
      <c r="L13"/>
      <c r="M13"/>
      <c r="N13"/>
      <c r="O13"/>
    </row>
    <row r="14" spans="1:15" ht="15" customHeight="1">
      <c r="A14" s="29" t="s">
        <v>4</v>
      </c>
      <c r="B14" s="49" t="s">
        <v>965</v>
      </c>
      <c r="C14" s="49"/>
      <c r="D14" s="49"/>
      <c r="E14" s="49"/>
      <c r="F14" s="49"/>
      <c r="G14" s="49"/>
      <c r="H14" s="49"/>
      <c r="I14" s="53"/>
      <c r="K14"/>
      <c r="L14"/>
      <c r="M14"/>
      <c r="N14"/>
      <c r="O14"/>
    </row>
    <row r="15" spans="1:15" ht="15" customHeight="1" thickBot="1">
      <c r="A15" s="9">
        <f>INDEX('Point Grid'!$C$8:$I$35,MATCH($A$1,'Point Grid'!$A$8:$A$35,0),MATCH(A14,'Point Grid'!$C$7:$I$7,0))</f>
        <v>0.5</v>
      </c>
      <c r="B15" s="49" t="s">
        <v>966</v>
      </c>
      <c r="C15" s="49"/>
      <c r="D15" s="49"/>
      <c r="E15" s="49"/>
      <c r="F15" s="49"/>
      <c r="G15" s="49"/>
      <c r="H15" s="49"/>
      <c r="I15" s="53"/>
      <c r="K15"/>
      <c r="L15"/>
      <c r="M15"/>
      <c r="N15"/>
      <c r="O15"/>
    </row>
    <row r="16" spans="1:15" ht="15" customHeight="1" thickBot="1">
      <c r="A16" s="5"/>
      <c r="B16" s="49"/>
      <c r="C16" s="49"/>
      <c r="D16" s="49"/>
      <c r="E16" s="49"/>
      <c r="F16" s="49"/>
      <c r="G16" s="49"/>
      <c r="H16" s="49"/>
      <c r="I16" s="53"/>
      <c r="K16"/>
      <c r="L16"/>
      <c r="M16"/>
      <c r="N16"/>
      <c r="O16"/>
    </row>
    <row r="17" spans="1:15" ht="15" customHeight="1">
      <c r="A17" s="25"/>
      <c r="B17" s="49"/>
      <c r="C17" s="49"/>
      <c r="D17" s="49"/>
      <c r="E17" s="49"/>
      <c r="F17" s="49"/>
      <c r="G17" s="49"/>
      <c r="H17" s="49"/>
      <c r="I17" s="53"/>
      <c r="K17"/>
      <c r="L17"/>
      <c r="M17"/>
      <c r="N17"/>
      <c r="O17"/>
    </row>
    <row r="18" spans="1:15" ht="15" customHeight="1">
      <c r="A18" s="29" t="s">
        <v>5</v>
      </c>
      <c r="B18" s="49" t="s">
        <v>328</v>
      </c>
      <c r="C18" s="49"/>
      <c r="D18" s="49"/>
      <c r="E18" s="49"/>
      <c r="F18" s="49"/>
      <c r="G18" s="49"/>
      <c r="H18" s="49"/>
      <c r="I18" s="53"/>
      <c r="K18"/>
      <c r="L18"/>
      <c r="M18"/>
      <c r="N18"/>
      <c r="O18"/>
    </row>
    <row r="19" spans="1:15" ht="15" customHeight="1" thickBot="1">
      <c r="A19" s="9">
        <f>INDEX('Point Grid'!$C$8:$I$35,MATCH($A$1,'Point Grid'!$A$8:$A$35,0),MATCH(A18,'Point Grid'!$C$7:$I$7,0))</f>
        <v>0.5</v>
      </c>
      <c r="B19" s="49" t="s">
        <v>329</v>
      </c>
      <c r="C19" s="49"/>
      <c r="D19" s="49"/>
      <c r="E19" s="49"/>
      <c r="F19" s="49"/>
      <c r="G19" s="49"/>
      <c r="H19" s="49"/>
      <c r="I19" s="53"/>
      <c r="K19"/>
      <c r="L19"/>
      <c r="M19"/>
      <c r="N19"/>
      <c r="O19"/>
    </row>
    <row r="20" spans="1:15" ht="15" customHeight="1" thickBot="1">
      <c r="A20" s="5"/>
      <c r="B20" s="22"/>
      <c r="C20" s="22"/>
      <c r="D20" s="22"/>
      <c r="E20" s="22"/>
      <c r="F20" s="22"/>
      <c r="G20" s="22"/>
      <c r="H20" s="22"/>
      <c r="I20" s="26"/>
      <c r="K20"/>
      <c r="L20"/>
      <c r="M20"/>
      <c r="N20"/>
      <c r="O20"/>
    </row>
    <row r="21" spans="1:15" ht="15" customHeight="1">
      <c r="A21" s="25"/>
      <c r="B21" s="22"/>
      <c r="C21" s="22"/>
      <c r="D21" s="22"/>
      <c r="E21" s="22"/>
      <c r="F21" s="22"/>
      <c r="G21" s="22"/>
      <c r="H21" s="22"/>
      <c r="I21" s="26"/>
      <c r="K21"/>
      <c r="L21"/>
      <c r="M21"/>
      <c r="N21"/>
      <c r="O21"/>
    </row>
    <row r="22" spans="1:15" ht="15" customHeight="1">
      <c r="A22" s="29" t="s">
        <v>6</v>
      </c>
      <c r="B22" s="22" t="s">
        <v>330</v>
      </c>
      <c r="C22" s="22"/>
      <c r="D22" s="22"/>
      <c r="E22" s="22"/>
      <c r="F22" s="22"/>
      <c r="G22" s="22"/>
      <c r="H22" s="22"/>
      <c r="I22" s="26"/>
      <c r="K22"/>
      <c r="L22"/>
      <c r="M22"/>
      <c r="N22"/>
      <c r="O22"/>
    </row>
    <row r="23" spans="1:15" ht="15" customHeight="1" thickBot="1">
      <c r="A23" s="9">
        <f>INDEX('Point Grid'!$C$8:$I$35,MATCH($A$1,'Point Grid'!$A$8:$A$35,0),MATCH(A22,'Point Grid'!$C$7:$I$7,0))</f>
        <v>0.5</v>
      </c>
      <c r="B23" s="22" t="s">
        <v>331</v>
      </c>
      <c r="C23" s="22"/>
      <c r="D23" s="22"/>
      <c r="E23" s="22"/>
      <c r="F23" s="22"/>
      <c r="G23" s="22"/>
      <c r="H23" s="22"/>
      <c r="I23" s="26"/>
      <c r="K23"/>
      <c r="L23"/>
      <c r="M23"/>
      <c r="N23"/>
      <c r="O23"/>
    </row>
    <row r="24" spans="1:15" ht="15" customHeight="1" thickBot="1">
      <c r="A24" s="5"/>
      <c r="B24" s="33"/>
      <c r="C24" s="22"/>
      <c r="D24" s="22"/>
      <c r="E24" s="22"/>
      <c r="F24" s="22"/>
      <c r="G24" s="22"/>
      <c r="H24" s="22"/>
      <c r="I24" s="26"/>
      <c r="K24"/>
      <c r="L24"/>
      <c r="M24"/>
      <c r="N24"/>
      <c r="O24"/>
    </row>
    <row r="25" spans="1:15" ht="15" customHeight="1">
      <c r="A25" s="25"/>
      <c r="B25" s="22"/>
      <c r="C25" s="22"/>
      <c r="D25" s="22"/>
      <c r="E25" s="22"/>
      <c r="F25" s="22"/>
      <c r="G25" s="22"/>
      <c r="H25" s="22"/>
      <c r="I25" s="26"/>
      <c r="K25"/>
      <c r="L25"/>
      <c r="M25"/>
      <c r="N25"/>
      <c r="O25"/>
    </row>
    <row r="26" spans="1:15" ht="15" customHeight="1" thickBot="1">
      <c r="A26" s="27"/>
      <c r="B26" s="27"/>
      <c r="C26" s="27"/>
      <c r="D26" s="27"/>
      <c r="E26" s="27"/>
      <c r="F26" s="27"/>
      <c r="G26" s="27"/>
      <c r="H26" s="27"/>
      <c r="I26" s="28"/>
      <c r="K26"/>
      <c r="L26"/>
      <c r="M26"/>
      <c r="N26"/>
      <c r="O26"/>
    </row>
    <row r="27" spans="1:15" ht="15" customHeight="1">
      <c r="K27"/>
      <c r="L27"/>
      <c r="M27"/>
      <c r="N27"/>
      <c r="O27"/>
    </row>
    <row r="28" spans="1:15" ht="15" customHeight="1">
      <c r="K28"/>
      <c r="L28"/>
      <c r="M28"/>
      <c r="N28"/>
      <c r="O28"/>
    </row>
    <row r="29" spans="1:15" ht="15" customHeight="1">
      <c r="K29"/>
      <c r="L29"/>
      <c r="M29"/>
      <c r="N29"/>
      <c r="O29"/>
    </row>
    <row r="30" spans="1:15" ht="15" customHeight="1">
      <c r="K30"/>
      <c r="L30"/>
      <c r="M30"/>
      <c r="N30"/>
      <c r="O30"/>
    </row>
    <row r="31" spans="1:15" ht="15" customHeight="1">
      <c r="K31"/>
      <c r="L31"/>
      <c r="M31"/>
      <c r="N31"/>
      <c r="O31"/>
    </row>
    <row r="32" spans="1:15" ht="15" customHeight="1">
      <c r="K32"/>
      <c r="L32"/>
      <c r="M32"/>
      <c r="N32"/>
      <c r="O32"/>
    </row>
    <row r="33" spans="11:15" ht="15" customHeight="1">
      <c r="K33"/>
      <c r="L33"/>
      <c r="M33"/>
      <c r="N33"/>
      <c r="O33"/>
    </row>
    <row r="34" spans="11:15" ht="15" customHeight="1">
      <c r="K34"/>
      <c r="L34"/>
      <c r="M34"/>
      <c r="N34"/>
      <c r="O34"/>
    </row>
    <row r="35" spans="11:15" ht="15" customHeight="1">
      <c r="K35"/>
      <c r="L35"/>
      <c r="M35"/>
      <c r="N35"/>
      <c r="O35"/>
    </row>
    <row r="36" spans="11:15" ht="15" customHeight="1">
      <c r="K36"/>
      <c r="L36"/>
      <c r="M36"/>
      <c r="N36"/>
      <c r="O36"/>
    </row>
    <row r="37" spans="11:15" ht="15" customHeight="1">
      <c r="K37"/>
      <c r="L37"/>
      <c r="M37"/>
      <c r="N37"/>
      <c r="O37"/>
    </row>
    <row r="38" spans="11:15" ht="15" customHeight="1">
      <c r="K38"/>
      <c r="L38"/>
      <c r="M38"/>
      <c r="N38"/>
      <c r="O38"/>
    </row>
    <row r="39" spans="11:15" ht="15" customHeight="1">
      <c r="K39"/>
      <c r="L39"/>
      <c r="M39"/>
      <c r="N39"/>
      <c r="O39"/>
    </row>
    <row r="40" spans="11:15" ht="15" customHeight="1">
      <c r="K40"/>
      <c r="L40"/>
      <c r="M40"/>
      <c r="N40"/>
      <c r="O40"/>
    </row>
    <row r="41" spans="11:15" ht="15" customHeight="1">
      <c r="K41"/>
      <c r="L41"/>
      <c r="M41"/>
      <c r="N41"/>
      <c r="O41"/>
    </row>
    <row r="42" spans="11:15" ht="15" customHeight="1">
      <c r="K42"/>
      <c r="L42"/>
      <c r="M42"/>
      <c r="N42"/>
      <c r="O42"/>
    </row>
    <row r="43" spans="11:15" ht="15" customHeight="1">
      <c r="K43"/>
      <c r="L43"/>
      <c r="M43"/>
      <c r="N43"/>
      <c r="O43"/>
    </row>
    <row r="44" spans="11:15" ht="15" customHeight="1">
      <c r="K44"/>
      <c r="L44"/>
      <c r="M44"/>
      <c r="N44"/>
      <c r="O44"/>
    </row>
    <row r="45" spans="11:15" ht="15" customHeight="1">
      <c r="K45"/>
      <c r="L45"/>
      <c r="M45"/>
      <c r="N45"/>
      <c r="O45"/>
    </row>
    <row r="46" spans="11:15" ht="15" customHeight="1">
      <c r="K46"/>
      <c r="L46"/>
      <c r="M46"/>
      <c r="N46"/>
      <c r="O46"/>
    </row>
    <row r="47" spans="11:15" ht="15" customHeight="1">
      <c r="K47"/>
      <c r="L47"/>
      <c r="M47"/>
      <c r="N47"/>
      <c r="O47"/>
    </row>
    <row r="48" spans="11:15" ht="15" customHeight="1">
      <c r="K48"/>
      <c r="L48"/>
      <c r="M48"/>
      <c r="N48"/>
      <c r="O48"/>
    </row>
    <row r="49" spans="11:15" ht="15" customHeight="1">
      <c r="K49"/>
      <c r="L49"/>
      <c r="M49"/>
      <c r="N49"/>
      <c r="O49"/>
    </row>
    <row r="50" spans="11:15" ht="15" customHeight="1">
      <c r="K50"/>
      <c r="L50"/>
      <c r="M50"/>
      <c r="N50"/>
      <c r="O50"/>
    </row>
    <row r="51" spans="11:15" ht="15" customHeight="1">
      <c r="K51"/>
      <c r="L51"/>
      <c r="M51"/>
      <c r="N51"/>
      <c r="O51"/>
    </row>
    <row r="52" spans="11:15" ht="15" customHeight="1">
      <c r="K52"/>
      <c r="L52"/>
      <c r="M52"/>
      <c r="N52"/>
      <c r="O52"/>
    </row>
    <row r="53" spans="11:15" ht="15" customHeight="1">
      <c r="K53"/>
      <c r="L53"/>
      <c r="M53"/>
      <c r="N53"/>
      <c r="O53"/>
    </row>
    <row r="54" spans="11:15" ht="15" customHeight="1">
      <c r="K54"/>
      <c r="L54"/>
      <c r="M54"/>
      <c r="N54"/>
      <c r="O54"/>
    </row>
    <row r="55" spans="11:15" ht="15" customHeight="1">
      <c r="K55"/>
      <c r="L55"/>
      <c r="M55"/>
      <c r="N55"/>
      <c r="O55"/>
    </row>
    <row r="56" spans="11:15" ht="15" customHeight="1">
      <c r="K56"/>
      <c r="L56"/>
      <c r="M56"/>
      <c r="N56"/>
      <c r="O56"/>
    </row>
    <row r="57" spans="11:15" ht="15" customHeight="1">
      <c r="K57"/>
      <c r="L57"/>
      <c r="M57"/>
      <c r="N57"/>
      <c r="O57"/>
    </row>
    <row r="58" spans="11:15" ht="15" customHeight="1">
      <c r="K58"/>
      <c r="L58"/>
      <c r="M58"/>
      <c r="N58"/>
      <c r="O58"/>
    </row>
    <row r="59" spans="11:15" ht="15" customHeight="1">
      <c r="K59"/>
      <c r="L59"/>
      <c r="M59"/>
      <c r="N59"/>
      <c r="O59"/>
    </row>
    <row r="60" spans="11:15" ht="15" customHeight="1">
      <c r="K60"/>
      <c r="L60"/>
      <c r="M60"/>
      <c r="N60"/>
      <c r="O60"/>
    </row>
    <row r="61" spans="11:15" ht="15" customHeight="1">
      <c r="K61"/>
      <c r="L61"/>
      <c r="M61"/>
      <c r="N61"/>
      <c r="O61"/>
    </row>
    <row r="62" spans="11:15" ht="15" customHeight="1">
      <c r="K62"/>
      <c r="L62"/>
      <c r="M62"/>
      <c r="N62"/>
      <c r="O62"/>
    </row>
    <row r="63" spans="11:15" ht="15" customHeight="1">
      <c r="K63"/>
      <c r="L63"/>
      <c r="M63"/>
      <c r="N63"/>
      <c r="O63"/>
    </row>
    <row r="64" spans="11:15" ht="15" customHeight="1">
      <c r="K64"/>
      <c r="L64"/>
      <c r="M64"/>
      <c r="N64"/>
      <c r="O64"/>
    </row>
    <row r="65" spans="11:15" ht="15" customHeight="1">
      <c r="K65"/>
      <c r="L65"/>
      <c r="M65"/>
      <c r="N65"/>
      <c r="O65"/>
    </row>
    <row r="66" spans="11:15" ht="15" customHeight="1">
      <c r="K66"/>
      <c r="L66"/>
      <c r="M66"/>
      <c r="N66"/>
      <c r="O66"/>
    </row>
    <row r="67" spans="11:15" ht="15" customHeight="1">
      <c r="K67"/>
      <c r="L67"/>
      <c r="M67"/>
      <c r="N67"/>
      <c r="O67"/>
    </row>
    <row r="68" spans="11:15" ht="15" customHeight="1">
      <c r="K68"/>
      <c r="L68"/>
      <c r="M68"/>
      <c r="N68"/>
      <c r="O68"/>
    </row>
    <row r="69" spans="11:15" ht="15" customHeight="1">
      <c r="K69"/>
      <c r="L69"/>
      <c r="M69"/>
      <c r="N69"/>
      <c r="O69"/>
    </row>
    <row r="70" spans="11:15" ht="15" customHeight="1">
      <c r="K70"/>
      <c r="L70"/>
      <c r="M70"/>
      <c r="N70"/>
      <c r="O70"/>
    </row>
    <row r="71" spans="11:15" ht="15" customHeight="1">
      <c r="K71"/>
      <c r="L71"/>
      <c r="M71"/>
      <c r="N71"/>
      <c r="O71"/>
    </row>
    <row r="72" spans="11:15" ht="15" customHeight="1">
      <c r="K72"/>
      <c r="L72"/>
      <c r="M72"/>
      <c r="N72"/>
      <c r="O72"/>
    </row>
    <row r="73" spans="11:15" ht="15" customHeight="1">
      <c r="K73"/>
      <c r="L73"/>
      <c r="M73"/>
      <c r="N73"/>
      <c r="O73"/>
    </row>
    <row r="74" spans="11:15" ht="15" customHeight="1">
      <c r="K74"/>
      <c r="L74"/>
      <c r="M74"/>
      <c r="N74"/>
      <c r="O74"/>
    </row>
    <row r="75" spans="11:15" ht="15" customHeight="1">
      <c r="K75"/>
      <c r="L75"/>
      <c r="M75"/>
      <c r="N75"/>
      <c r="O75"/>
    </row>
    <row r="76" spans="11:15" ht="15" customHeight="1">
      <c r="K76"/>
      <c r="L76"/>
      <c r="M76"/>
      <c r="N76"/>
      <c r="O76"/>
    </row>
    <row r="77" spans="11:15" ht="15" customHeight="1">
      <c r="K77"/>
      <c r="L77"/>
      <c r="M77"/>
      <c r="N77"/>
      <c r="O77"/>
    </row>
    <row r="78" spans="11:15" ht="15" customHeight="1">
      <c r="K78"/>
      <c r="L78"/>
      <c r="M78"/>
      <c r="N78"/>
      <c r="O78"/>
    </row>
    <row r="79" spans="11:15" ht="15" customHeight="1">
      <c r="K79"/>
      <c r="L79"/>
      <c r="M79"/>
      <c r="N79"/>
      <c r="O79"/>
    </row>
    <row r="80" spans="11:15" ht="15" customHeight="1">
      <c r="K80"/>
      <c r="L80"/>
      <c r="M80"/>
      <c r="N80"/>
      <c r="O80"/>
    </row>
    <row r="81" spans="11:15" ht="15" customHeight="1">
      <c r="K81"/>
      <c r="L81"/>
      <c r="M81"/>
      <c r="N81"/>
      <c r="O81"/>
    </row>
    <row r="82" spans="11:15" ht="15" customHeight="1">
      <c r="K82"/>
      <c r="L82"/>
      <c r="M82"/>
      <c r="N82"/>
      <c r="O82"/>
    </row>
    <row r="83" spans="11:15" ht="15" customHeight="1">
      <c r="K83"/>
      <c r="L83"/>
      <c r="M83"/>
      <c r="N83"/>
      <c r="O83"/>
    </row>
    <row r="84" spans="11:15" ht="15" customHeight="1">
      <c r="K84"/>
      <c r="L84"/>
      <c r="M84"/>
      <c r="N84"/>
      <c r="O84"/>
    </row>
    <row r="85" spans="11:15" ht="15" customHeight="1">
      <c r="K85"/>
      <c r="L85"/>
      <c r="M85"/>
      <c r="N85"/>
      <c r="O85"/>
    </row>
    <row r="86" spans="11:15" ht="15" customHeight="1">
      <c r="K86"/>
      <c r="L86"/>
      <c r="M86"/>
      <c r="N86"/>
      <c r="O86"/>
    </row>
  </sheetData>
  <mergeCells count="1">
    <mergeCell ref="H1:I1"/>
  </mergeCells>
  <conditionalFormatting sqref="B1">
    <cfRule type="cellIs" dxfId="88" priority="1" operator="equal">
      <formula>"Incomplete"</formula>
    </cfRule>
    <cfRule type="cellIs" dxfId="87" priority="2" operator="equal">
      <formula>"Flag for Review"</formula>
    </cfRule>
    <cfRule type="cellIs" dxfId="86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M9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3" width="9.140625" style="41"/>
    <col min="14" max="16384" width="9.140625" style="24"/>
  </cols>
  <sheetData>
    <row r="1" spans="1:13">
      <c r="A1" s="7">
        <v>4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  <c r="L1" s="50"/>
      <c r="M1" s="24"/>
    </row>
    <row r="2" spans="1:13">
      <c r="A2" s="25"/>
      <c r="B2" s="22"/>
      <c r="C2" s="22"/>
      <c r="D2" s="22"/>
      <c r="E2" s="22"/>
      <c r="F2" s="22"/>
      <c r="G2" s="22"/>
      <c r="H2" s="22"/>
      <c r="I2" s="26"/>
      <c r="K2" s="50"/>
      <c r="L2" s="50"/>
      <c r="M2" s="24"/>
    </row>
    <row r="3" spans="1:13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s="50"/>
      <c r="L3" s="50"/>
      <c r="M3" s="24"/>
    </row>
    <row r="4" spans="1:13" ht="15" customHeight="1">
      <c r="A4" s="9">
        <f>INDEX('Point Grid'!B:B,MATCH($A$1,'Point Grid'!A:A,0))</f>
        <v>2.75</v>
      </c>
      <c r="B4" s="22"/>
      <c r="C4" s="22"/>
      <c r="D4" s="22"/>
      <c r="E4" s="22"/>
      <c r="F4" s="22"/>
      <c r="G4" s="22"/>
      <c r="H4" s="22"/>
      <c r="I4" s="26"/>
      <c r="K4" s="50"/>
      <c r="L4" s="50"/>
      <c r="M4" s="24"/>
    </row>
    <row r="5" spans="1:13" ht="15" customHeight="1">
      <c r="A5" s="25"/>
      <c r="B5" s="22"/>
      <c r="C5" s="22"/>
      <c r="D5" s="22"/>
      <c r="E5" s="22"/>
      <c r="F5" s="22"/>
      <c r="G5" s="22"/>
      <c r="H5" s="22"/>
      <c r="I5" s="26"/>
      <c r="K5" s="50"/>
      <c r="L5" s="50"/>
      <c r="M5" s="24"/>
    </row>
    <row r="6" spans="1:13" ht="15" customHeight="1">
      <c r="A6" s="29" t="s">
        <v>2</v>
      </c>
      <c r="B6" s="22" t="s">
        <v>59</v>
      </c>
      <c r="C6" s="22"/>
      <c r="D6" s="22"/>
      <c r="E6" s="22"/>
      <c r="F6" s="22"/>
      <c r="G6" s="22"/>
      <c r="H6" s="22"/>
      <c r="I6" s="26"/>
      <c r="K6" s="50" t="s">
        <v>2</v>
      </c>
      <c r="L6" s="50"/>
      <c r="M6" s="24"/>
    </row>
    <row r="7" spans="1:13" ht="15" customHeight="1" thickBot="1">
      <c r="A7" s="9">
        <f>INDEX('Point Grid'!$C$8:$I$35,MATCH($A$1,'Point Grid'!$A$8:$A$35,0),MATCH(A6,'Point Grid'!$C$7:$I$7,0))</f>
        <v>1.25</v>
      </c>
      <c r="B7" s="22"/>
      <c r="C7" s="22"/>
      <c r="D7" s="22"/>
      <c r="E7" s="22"/>
      <c r="F7" s="22"/>
      <c r="G7" s="22"/>
      <c r="H7" s="22"/>
      <c r="I7" s="26"/>
      <c r="K7" s="50" t="s">
        <v>61</v>
      </c>
      <c r="L7" s="24" t="s">
        <v>49</v>
      </c>
      <c r="M7" s="24"/>
    </row>
    <row r="8" spans="1:13" ht="15" customHeight="1" thickBot="1">
      <c r="A8" s="5"/>
      <c r="B8" s="22"/>
      <c r="C8" s="22"/>
      <c r="D8" s="22"/>
      <c r="E8" s="22"/>
      <c r="F8" s="22"/>
      <c r="G8" s="22"/>
      <c r="H8" s="22"/>
      <c r="I8" s="26"/>
      <c r="K8" s="50"/>
      <c r="L8" s="24" t="s">
        <v>50</v>
      </c>
      <c r="M8" s="24"/>
    </row>
    <row r="9" spans="1:13" ht="15" customHeight="1">
      <c r="A9" s="31"/>
      <c r="B9" s="22"/>
      <c r="C9" s="22"/>
      <c r="D9" s="22"/>
      <c r="E9" s="22"/>
      <c r="F9" s="22"/>
      <c r="G9" s="22"/>
      <c r="H9" s="22"/>
      <c r="I9" s="26"/>
      <c r="K9" s="50"/>
      <c r="L9" s="24" t="s">
        <v>51</v>
      </c>
      <c r="M9" s="24"/>
    </row>
    <row r="10" spans="1:13" ht="15" customHeight="1">
      <c r="A10" s="29" t="s">
        <v>3</v>
      </c>
      <c r="B10" s="22" t="s">
        <v>48</v>
      </c>
      <c r="C10" s="22"/>
      <c r="D10" s="22"/>
      <c r="E10" s="22"/>
      <c r="F10" s="22"/>
      <c r="G10" s="22"/>
      <c r="H10" s="22"/>
      <c r="I10" s="26"/>
      <c r="K10" s="50"/>
      <c r="L10" s="24" t="s">
        <v>52</v>
      </c>
      <c r="M10" s="24"/>
    </row>
    <row r="11" spans="1:13" ht="15" customHeight="1" thickBot="1">
      <c r="A11" s="9">
        <f>INDEX('Point Grid'!$C$8:$I$35,MATCH($A$1,'Point Grid'!$A$8:$A$35,0),MATCH(A10,'Point Grid'!$C$7:$I$7,0))</f>
        <v>1.25</v>
      </c>
      <c r="B11" s="22"/>
      <c r="C11" s="22"/>
      <c r="D11" s="22"/>
      <c r="E11" s="22"/>
      <c r="F11" s="22"/>
      <c r="G11" s="22"/>
      <c r="H11" s="22"/>
      <c r="I11" s="26"/>
      <c r="K11" s="50"/>
      <c r="L11" s="24" t="s">
        <v>53</v>
      </c>
      <c r="M11" s="24"/>
    </row>
    <row r="12" spans="1:13" ht="15" customHeight="1" thickBot="1">
      <c r="A12" s="5"/>
      <c r="B12" s="22"/>
      <c r="C12" s="22"/>
      <c r="D12" s="22"/>
      <c r="E12" s="22"/>
      <c r="F12" s="22"/>
      <c r="G12" s="22"/>
      <c r="H12" s="22"/>
      <c r="I12" s="26"/>
      <c r="K12" s="50"/>
      <c r="L12" s="50"/>
      <c r="M12" s="24"/>
    </row>
    <row r="13" spans="1:13" ht="15" customHeight="1">
      <c r="A13" s="31"/>
      <c r="B13" s="22"/>
      <c r="C13" s="22"/>
      <c r="D13" s="22"/>
      <c r="E13" s="22"/>
      <c r="F13" s="22"/>
      <c r="G13" s="22"/>
      <c r="H13" s="22"/>
      <c r="I13" s="26"/>
      <c r="K13" s="50" t="s">
        <v>3</v>
      </c>
      <c r="L13" s="50"/>
      <c r="M13" s="24"/>
    </row>
    <row r="14" spans="1:13" ht="15" customHeight="1">
      <c r="A14" s="29" t="s">
        <v>4</v>
      </c>
      <c r="B14" s="22" t="s">
        <v>63</v>
      </c>
      <c r="C14" s="22"/>
      <c r="D14" s="22"/>
      <c r="E14" s="22"/>
      <c r="F14" s="22"/>
      <c r="G14" s="22"/>
      <c r="H14" s="22"/>
      <c r="I14" s="26"/>
      <c r="K14" s="50" t="s">
        <v>61</v>
      </c>
      <c r="L14" s="50" t="s">
        <v>57</v>
      </c>
      <c r="M14" s="24"/>
    </row>
    <row r="15" spans="1:13" ht="15" customHeight="1" thickBot="1">
      <c r="A15" s="9">
        <f>INDEX('Point Grid'!$C$8:$I$35,MATCH($A$1,'Point Grid'!$A$8:$A$35,0),MATCH(A14,'Point Grid'!$C$7:$I$7,0))</f>
        <v>0.25</v>
      </c>
      <c r="B15" s="22"/>
      <c r="C15" s="22"/>
      <c r="D15" s="22"/>
      <c r="E15" s="22"/>
      <c r="F15" s="22"/>
      <c r="G15" s="22"/>
      <c r="H15" s="22"/>
      <c r="I15" s="26"/>
      <c r="K15" s="50"/>
      <c r="L15" s="50" t="s">
        <v>58</v>
      </c>
      <c r="M15" s="24"/>
    </row>
    <row r="16" spans="1:13" ht="15" customHeight="1" thickBot="1">
      <c r="A16" s="5"/>
      <c r="B16" s="22"/>
      <c r="C16" s="22"/>
      <c r="D16" s="22"/>
      <c r="E16" s="22"/>
      <c r="F16" s="22"/>
      <c r="G16" s="22"/>
      <c r="H16" s="22"/>
      <c r="I16" s="26"/>
      <c r="K16" s="50"/>
      <c r="L16" s="50" t="s">
        <v>55</v>
      </c>
      <c r="M16" s="24"/>
    </row>
    <row r="17" spans="1:13" ht="15" customHeight="1">
      <c r="A17" s="25"/>
      <c r="B17" s="22"/>
      <c r="C17" s="22"/>
      <c r="D17" s="22"/>
      <c r="E17" s="22"/>
      <c r="F17" s="22"/>
      <c r="G17" s="22"/>
      <c r="H17" s="22"/>
      <c r="I17" s="26"/>
      <c r="K17" s="50"/>
      <c r="L17" s="50" t="s">
        <v>56</v>
      </c>
      <c r="M17" s="24"/>
    </row>
    <row r="18" spans="1:13" ht="15" customHeight="1" thickBot="1">
      <c r="A18" s="27"/>
      <c r="B18" s="27"/>
      <c r="C18" s="27"/>
      <c r="D18" s="27"/>
      <c r="E18" s="27"/>
      <c r="F18" s="27"/>
      <c r="G18" s="27"/>
      <c r="H18" s="27"/>
      <c r="I18" s="28"/>
      <c r="K18" s="50"/>
      <c r="L18" s="50" t="s">
        <v>54</v>
      </c>
      <c r="M18" s="24"/>
    </row>
    <row r="19" spans="1:13" ht="15" customHeight="1">
      <c r="A19"/>
      <c r="B19"/>
      <c r="C19"/>
      <c r="D19"/>
      <c r="E19"/>
      <c r="F19"/>
      <c r="G19"/>
      <c r="H19"/>
      <c r="I19"/>
      <c r="J19"/>
      <c r="K19" s="50"/>
      <c r="L19" s="50"/>
      <c r="M19" s="24"/>
    </row>
    <row r="20" spans="1:13" ht="15" customHeight="1">
      <c r="A20"/>
      <c r="B20"/>
      <c r="C20"/>
      <c r="D20"/>
      <c r="E20"/>
      <c r="F20"/>
      <c r="G20"/>
      <c r="H20"/>
      <c r="I20"/>
      <c r="J20"/>
      <c r="K20" s="50" t="s">
        <v>62</v>
      </c>
      <c r="L20" s="50"/>
      <c r="M20" s="24"/>
    </row>
    <row r="21" spans="1:13" ht="15" customHeight="1">
      <c r="A21"/>
      <c r="B21"/>
      <c r="C21"/>
      <c r="D21"/>
      <c r="E21"/>
      <c r="F21"/>
      <c r="G21"/>
      <c r="H21"/>
      <c r="I21"/>
      <c r="J21"/>
      <c r="K21" s="50">
        <v>0.25</v>
      </c>
      <c r="L21" s="50" t="s">
        <v>64</v>
      </c>
      <c r="M21" s="24"/>
    </row>
    <row r="22" spans="1:13" ht="15" customHeight="1">
      <c r="A22"/>
      <c r="B22"/>
      <c r="C22"/>
      <c r="D22"/>
      <c r="E22"/>
      <c r="F22"/>
      <c r="G22"/>
      <c r="H22"/>
      <c r="I22"/>
      <c r="J22"/>
      <c r="K22" s="50"/>
      <c r="L22" s="50" t="s">
        <v>65</v>
      </c>
      <c r="M22" s="24"/>
    </row>
    <row r="23" spans="1:13" ht="15" customHeight="1">
      <c r="A23"/>
      <c r="B23"/>
      <c r="C23"/>
      <c r="D23"/>
      <c r="E23"/>
      <c r="F23"/>
      <c r="G23"/>
      <c r="H23"/>
      <c r="I23"/>
      <c r="J23"/>
      <c r="K23" s="50"/>
      <c r="L23" s="50"/>
      <c r="M23" s="24"/>
    </row>
    <row r="24" spans="1:13" ht="15" customHeight="1">
      <c r="A24"/>
      <c r="B24"/>
      <c r="C24"/>
      <c r="D24"/>
      <c r="E24"/>
      <c r="F24"/>
      <c r="G24"/>
      <c r="H24"/>
      <c r="I24"/>
      <c r="J24"/>
      <c r="K24" s="50"/>
      <c r="L24" s="50"/>
      <c r="M24" s="24"/>
    </row>
    <row r="25" spans="1:13" ht="15" customHeight="1">
      <c r="A25"/>
      <c r="B25"/>
      <c r="C25"/>
      <c r="D25"/>
      <c r="E25"/>
      <c r="F25"/>
      <c r="G25"/>
      <c r="H25"/>
      <c r="I25"/>
      <c r="J25"/>
      <c r="K25" s="50"/>
      <c r="L25" s="50"/>
      <c r="M25" s="24"/>
    </row>
    <row r="26" spans="1:13" ht="15" customHeight="1">
      <c r="A26"/>
      <c r="B26"/>
      <c r="C26"/>
      <c r="D26"/>
      <c r="E26"/>
      <c r="F26"/>
      <c r="G26"/>
      <c r="H26"/>
      <c r="I26"/>
      <c r="J26"/>
      <c r="K26" s="50"/>
      <c r="L26" s="50"/>
      <c r="M26" s="24"/>
    </row>
    <row r="27" spans="1:13" ht="15" customHeight="1">
      <c r="A27"/>
      <c r="B27"/>
      <c r="C27"/>
      <c r="D27"/>
      <c r="E27"/>
      <c r="F27"/>
      <c r="G27"/>
      <c r="H27"/>
      <c r="I27"/>
      <c r="J27"/>
      <c r="K27" s="50"/>
      <c r="L27" s="50"/>
      <c r="M27" s="24"/>
    </row>
    <row r="28" spans="1:13" ht="15" customHeight="1">
      <c r="A28"/>
      <c r="B28"/>
      <c r="C28"/>
      <c r="D28"/>
      <c r="E28"/>
      <c r="F28"/>
      <c r="G28"/>
      <c r="H28"/>
      <c r="I28"/>
      <c r="J28"/>
      <c r="K28" s="50"/>
      <c r="L28" s="50"/>
      <c r="M28" s="24"/>
    </row>
    <row r="29" spans="1:13" ht="15" customHeight="1">
      <c r="A29"/>
      <c r="B29"/>
      <c r="C29"/>
      <c r="D29"/>
      <c r="E29"/>
      <c r="F29"/>
      <c r="G29"/>
      <c r="H29"/>
      <c r="I29"/>
      <c r="J29"/>
      <c r="K29" s="50"/>
      <c r="L29" s="50"/>
      <c r="M29" s="24"/>
    </row>
    <row r="30" spans="1:13" ht="15" customHeight="1">
      <c r="A30"/>
      <c r="B30"/>
      <c r="C30"/>
      <c r="D30"/>
      <c r="E30"/>
      <c r="F30"/>
      <c r="G30"/>
      <c r="H30"/>
      <c r="I30"/>
      <c r="J30"/>
      <c r="K30" s="50"/>
      <c r="L30" s="50"/>
      <c r="M30" s="24"/>
    </row>
    <row r="31" spans="1:13" ht="15" customHeight="1">
      <c r="A31"/>
      <c r="B31"/>
      <c r="C31"/>
      <c r="D31"/>
      <c r="E31"/>
      <c r="F31"/>
      <c r="G31"/>
      <c r="H31"/>
      <c r="I31"/>
      <c r="J31"/>
      <c r="K31" s="50"/>
      <c r="L31" s="50"/>
      <c r="M31" s="24"/>
    </row>
    <row r="32" spans="1:13" ht="15" customHeight="1">
      <c r="A32"/>
      <c r="B32"/>
      <c r="C32"/>
      <c r="D32"/>
      <c r="E32"/>
      <c r="F32"/>
      <c r="G32"/>
      <c r="H32"/>
      <c r="I32"/>
      <c r="J32"/>
      <c r="K32" s="50"/>
      <c r="L32" s="50"/>
      <c r="M32" s="24"/>
    </row>
    <row r="33" spans="1:13" ht="15" customHeight="1">
      <c r="A33"/>
      <c r="B33"/>
      <c r="C33"/>
      <c r="D33"/>
      <c r="E33"/>
      <c r="F33"/>
      <c r="G33"/>
      <c r="H33"/>
      <c r="I33"/>
      <c r="J33"/>
      <c r="K33" s="50"/>
      <c r="L33" s="50"/>
      <c r="M33" s="24"/>
    </row>
    <row r="34" spans="1:13" ht="15" customHeight="1">
      <c r="A34"/>
      <c r="B34"/>
      <c r="C34"/>
      <c r="D34"/>
      <c r="E34"/>
      <c r="F34"/>
      <c r="G34"/>
      <c r="H34"/>
      <c r="I34"/>
      <c r="J34"/>
      <c r="K34" s="50"/>
      <c r="L34" s="50"/>
      <c r="M34" s="24"/>
    </row>
    <row r="35" spans="1:13" ht="15" customHeight="1">
      <c r="A35"/>
      <c r="B35"/>
      <c r="C35"/>
      <c r="D35"/>
      <c r="E35"/>
      <c r="F35"/>
      <c r="G35"/>
      <c r="H35"/>
      <c r="I35"/>
      <c r="J35"/>
      <c r="K35" s="50"/>
      <c r="L35" s="50"/>
      <c r="M35" s="24"/>
    </row>
    <row r="36" spans="1:13" ht="15" customHeight="1">
      <c r="A36"/>
      <c r="B36"/>
      <c r="C36"/>
      <c r="D36"/>
      <c r="E36"/>
      <c r="F36"/>
      <c r="G36"/>
      <c r="H36"/>
      <c r="I36"/>
      <c r="J36"/>
      <c r="K36" s="50"/>
      <c r="L36" s="50"/>
      <c r="M36" s="24"/>
    </row>
    <row r="37" spans="1:13" ht="15" customHeight="1">
      <c r="A37"/>
      <c r="B37"/>
      <c r="C37"/>
      <c r="D37"/>
      <c r="E37"/>
      <c r="F37"/>
      <c r="G37"/>
      <c r="H37"/>
      <c r="I37"/>
      <c r="J37"/>
      <c r="K37" s="50"/>
      <c r="L37" s="50"/>
      <c r="M37" s="24"/>
    </row>
    <row r="38" spans="1:13" ht="15" customHeight="1">
      <c r="A38"/>
      <c r="B38"/>
      <c r="C38"/>
      <c r="D38"/>
      <c r="E38"/>
      <c r="F38"/>
      <c r="G38"/>
      <c r="H38"/>
      <c r="I38"/>
      <c r="J38"/>
      <c r="K38" s="50"/>
      <c r="L38" s="50"/>
      <c r="M38" s="24"/>
    </row>
    <row r="39" spans="1:13" ht="15" customHeight="1">
      <c r="K39" s="50"/>
      <c r="L39" s="50"/>
      <c r="M39" s="24"/>
    </row>
    <row r="40" spans="1:13" ht="15" customHeight="1">
      <c r="K40" s="50"/>
      <c r="L40" s="50"/>
      <c r="M40" s="24"/>
    </row>
    <row r="41" spans="1:13" ht="15" customHeight="1">
      <c r="K41" s="50"/>
      <c r="L41" s="50"/>
      <c r="M41" s="24"/>
    </row>
    <row r="42" spans="1:13" ht="15" customHeight="1">
      <c r="K42" s="50"/>
      <c r="L42" s="50"/>
      <c r="M42" s="24"/>
    </row>
    <row r="43" spans="1:13" ht="15" customHeight="1">
      <c r="K43" s="50"/>
      <c r="L43" s="50"/>
      <c r="M43" s="24"/>
    </row>
    <row r="44" spans="1:13" ht="15" customHeight="1">
      <c r="K44" s="50"/>
      <c r="L44" s="50"/>
      <c r="M44" s="24"/>
    </row>
    <row r="45" spans="1:13" ht="15" customHeight="1">
      <c r="K45" s="50"/>
      <c r="L45" s="50"/>
      <c r="M45" s="24"/>
    </row>
    <row r="46" spans="1:13" ht="15" customHeight="1">
      <c r="K46" s="50"/>
      <c r="L46" s="50"/>
      <c r="M46" s="24"/>
    </row>
    <row r="47" spans="1:13" ht="15" customHeight="1">
      <c r="K47" s="50"/>
      <c r="L47" s="50"/>
      <c r="M47" s="24"/>
    </row>
    <row r="48" spans="1:13" ht="15" customHeight="1">
      <c r="K48" s="50"/>
      <c r="L48" s="50"/>
      <c r="M48" s="24"/>
    </row>
    <row r="49" spans="11:13" ht="15" customHeight="1">
      <c r="K49" s="50"/>
      <c r="L49" s="50"/>
      <c r="M49" s="24"/>
    </row>
    <row r="50" spans="11:13" ht="15" customHeight="1">
      <c r="K50" s="50"/>
      <c r="L50" s="50"/>
      <c r="M50" s="24"/>
    </row>
    <row r="51" spans="11:13" ht="15" customHeight="1">
      <c r="K51" s="50"/>
      <c r="L51" s="50"/>
      <c r="M51" s="24"/>
    </row>
    <row r="52" spans="11:13" ht="15" customHeight="1">
      <c r="K52" s="50"/>
      <c r="L52" s="50"/>
      <c r="M52" s="24"/>
    </row>
    <row r="53" spans="11:13" ht="15" customHeight="1">
      <c r="K53" s="50"/>
      <c r="L53" s="50"/>
      <c r="M53" s="24"/>
    </row>
    <row r="54" spans="11:13" ht="15" customHeight="1">
      <c r="K54" s="50"/>
      <c r="L54" s="50"/>
      <c r="M54" s="24"/>
    </row>
    <row r="55" spans="11:13" ht="15" customHeight="1">
      <c r="K55" s="50"/>
      <c r="L55" s="50"/>
      <c r="M55" s="24"/>
    </row>
    <row r="56" spans="11:13" ht="15" customHeight="1">
      <c r="K56" s="50"/>
      <c r="L56" s="50"/>
      <c r="M56" s="24"/>
    </row>
    <row r="57" spans="11:13" ht="15" customHeight="1">
      <c r="K57" s="50"/>
      <c r="L57" s="50"/>
      <c r="M57" s="24"/>
    </row>
    <row r="58" spans="11:13" ht="15" customHeight="1">
      <c r="K58" s="50"/>
      <c r="L58" s="50"/>
      <c r="M58" s="24"/>
    </row>
    <row r="59" spans="11:13" ht="15" customHeight="1">
      <c r="K59" s="50"/>
      <c r="L59" s="50"/>
      <c r="M59" s="24"/>
    </row>
    <row r="60" spans="11:13" ht="15" customHeight="1">
      <c r="K60" s="50"/>
      <c r="L60" s="50"/>
      <c r="M60" s="24"/>
    </row>
    <row r="61" spans="11:13" ht="15" customHeight="1">
      <c r="K61" s="50"/>
      <c r="L61" s="50"/>
      <c r="M61" s="24"/>
    </row>
    <row r="62" spans="11:13" ht="15" customHeight="1">
      <c r="K62" s="50"/>
      <c r="L62" s="50"/>
      <c r="M62" s="24"/>
    </row>
    <row r="63" spans="11:13" ht="15" customHeight="1">
      <c r="K63" s="50"/>
      <c r="L63" s="50"/>
      <c r="M63" s="24"/>
    </row>
    <row r="64" spans="11:13" ht="15" customHeight="1">
      <c r="K64" s="50"/>
      <c r="L64" s="50"/>
      <c r="M64" s="24"/>
    </row>
    <row r="65" spans="11:13" ht="15" customHeight="1">
      <c r="K65" s="50"/>
      <c r="L65" s="50"/>
      <c r="M65" s="24"/>
    </row>
    <row r="66" spans="11:13" ht="15" customHeight="1">
      <c r="K66" s="50"/>
      <c r="L66" s="50"/>
      <c r="M66" s="24"/>
    </row>
    <row r="67" spans="11:13" ht="15" customHeight="1">
      <c r="K67" s="50"/>
      <c r="L67" s="50"/>
      <c r="M67" s="24"/>
    </row>
    <row r="68" spans="11:13" ht="15" customHeight="1">
      <c r="K68" s="50"/>
      <c r="L68" s="50"/>
      <c r="M68" s="24"/>
    </row>
    <row r="69" spans="11:13" ht="15" customHeight="1">
      <c r="K69" s="50"/>
      <c r="L69" s="50"/>
      <c r="M69" s="24"/>
    </row>
    <row r="70" spans="11:13" ht="15" customHeight="1">
      <c r="K70" s="50"/>
      <c r="L70" s="50"/>
      <c r="M70" s="24"/>
    </row>
    <row r="71" spans="11:13" ht="15" customHeight="1">
      <c r="K71" s="50"/>
      <c r="L71" s="50"/>
      <c r="M71" s="24"/>
    </row>
    <row r="72" spans="11:13" ht="15" customHeight="1">
      <c r="K72" s="50"/>
      <c r="L72" s="50"/>
      <c r="M72" s="24"/>
    </row>
    <row r="73" spans="11:13" ht="15" customHeight="1">
      <c r="K73" s="50"/>
      <c r="L73" s="50"/>
      <c r="M73" s="24"/>
    </row>
    <row r="74" spans="11:13" ht="15" customHeight="1">
      <c r="K74" s="50"/>
      <c r="L74" s="50"/>
      <c r="M74" s="24"/>
    </row>
    <row r="75" spans="11:13" ht="15" customHeight="1">
      <c r="K75" s="50"/>
      <c r="L75" s="50"/>
      <c r="M75" s="24"/>
    </row>
    <row r="76" spans="11:13" ht="15" customHeight="1">
      <c r="K76" s="50"/>
      <c r="L76" s="50"/>
      <c r="M76" s="24"/>
    </row>
    <row r="77" spans="11:13" ht="15" customHeight="1">
      <c r="K77" s="50"/>
      <c r="L77" s="50"/>
      <c r="M77" s="24"/>
    </row>
    <row r="78" spans="11:13" ht="15" customHeight="1">
      <c r="K78" s="50"/>
      <c r="L78" s="50"/>
      <c r="M78" s="24"/>
    </row>
    <row r="79" spans="11:13" ht="15" customHeight="1">
      <c r="K79" s="50"/>
      <c r="L79" s="50"/>
      <c r="M79" s="24"/>
    </row>
    <row r="80" spans="11:13" ht="15" customHeight="1">
      <c r="K80" s="50"/>
      <c r="L80" s="50"/>
      <c r="M80" s="24"/>
    </row>
    <row r="81" spans="11:13" ht="15" customHeight="1">
      <c r="K81" s="50"/>
      <c r="L81" s="50"/>
      <c r="M81" s="24"/>
    </row>
    <row r="82" spans="11:13" ht="15" customHeight="1">
      <c r="K82" s="50"/>
      <c r="L82" s="50"/>
      <c r="M82" s="24"/>
    </row>
    <row r="83" spans="11:13" ht="15" customHeight="1">
      <c r="K83" s="50"/>
      <c r="L83" s="50"/>
      <c r="M83" s="24"/>
    </row>
    <row r="84" spans="11:13" ht="15" customHeight="1">
      <c r="K84" s="50"/>
      <c r="L84" s="50"/>
      <c r="M84" s="24"/>
    </row>
    <row r="85" spans="11:13" ht="15" customHeight="1">
      <c r="K85" s="50"/>
      <c r="L85" s="50"/>
      <c r="M85" s="24"/>
    </row>
    <row r="86" spans="11:13" ht="15" customHeight="1">
      <c r="K86" s="50"/>
      <c r="L86" s="50"/>
      <c r="M86" s="24"/>
    </row>
    <row r="87" spans="11:13" ht="15" customHeight="1">
      <c r="K87" s="24"/>
      <c r="L87" s="50"/>
      <c r="M87" s="24"/>
    </row>
    <row r="88" spans="11:13" ht="15" customHeight="1">
      <c r="K88" s="24"/>
      <c r="L88" s="24"/>
      <c r="M88" s="24"/>
    </row>
    <row r="89" spans="11:13" ht="15" customHeight="1">
      <c r="K89" s="24"/>
      <c r="L89" s="24"/>
      <c r="M89" s="24"/>
    </row>
    <row r="90" spans="11:13" ht="15" customHeight="1">
      <c r="K90" s="24"/>
      <c r="L90" s="24"/>
      <c r="M90" s="24"/>
    </row>
  </sheetData>
  <mergeCells count="1">
    <mergeCell ref="H1:I1"/>
  </mergeCells>
  <conditionalFormatting sqref="B1">
    <cfRule type="cellIs" dxfId="85" priority="1" operator="equal">
      <formula>"Incomplete"</formula>
    </cfRule>
    <cfRule type="cellIs" dxfId="84" priority="2" operator="equal">
      <formula>"Flag for Review"</formula>
    </cfRule>
    <cfRule type="cellIs" dxfId="83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L9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2">
      <c r="A1" s="7">
        <v>5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  <c r="L1"/>
    </row>
    <row r="2" spans="1:12">
      <c r="A2" s="25"/>
      <c r="B2" s="22"/>
      <c r="C2" s="22"/>
      <c r="D2" s="22"/>
      <c r="E2" s="22"/>
      <c r="F2" s="22"/>
      <c r="G2" s="22"/>
      <c r="H2" s="22"/>
      <c r="I2" s="26"/>
      <c r="K2" s="54"/>
      <c r="L2"/>
    </row>
    <row r="3" spans="1:12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s="54" t="s">
        <v>304</v>
      </c>
      <c r="L3"/>
    </row>
    <row r="4" spans="1:12" ht="15" customHeight="1">
      <c r="A4" s="9">
        <f>INDEX('Point Grid'!B:B,MATCH($A$1,'Point Grid'!A:A,0))</f>
        <v>2.5</v>
      </c>
      <c r="B4" s="49" t="s">
        <v>332</v>
      </c>
      <c r="C4" s="22"/>
      <c r="D4" s="22"/>
      <c r="E4" s="22"/>
      <c r="F4" s="22"/>
      <c r="G4" s="22"/>
      <c r="H4" s="22"/>
      <c r="I4" s="26"/>
      <c r="K4" s="54" t="s">
        <v>333</v>
      </c>
      <c r="L4"/>
    </row>
    <row r="5" spans="1:12" ht="15" customHeight="1">
      <c r="A5" s="25"/>
      <c r="B5" s="22"/>
      <c r="C5" s="22"/>
      <c r="D5" s="22"/>
      <c r="E5" s="22"/>
      <c r="F5" s="22"/>
      <c r="G5" s="22"/>
      <c r="H5" s="22"/>
      <c r="I5" s="26"/>
      <c r="K5" s="55" t="s">
        <v>334</v>
      </c>
      <c r="L5"/>
    </row>
    <row r="6" spans="1:12" ht="15" customHeight="1">
      <c r="A6" s="29" t="s">
        <v>2</v>
      </c>
      <c r="B6" s="49" t="s">
        <v>335</v>
      </c>
      <c r="C6" s="49"/>
      <c r="D6" s="49"/>
      <c r="E6" s="49"/>
      <c r="F6" s="49"/>
      <c r="G6" s="49"/>
      <c r="H6" s="49"/>
      <c r="I6" s="26"/>
      <c r="K6" s="56" t="s">
        <v>336</v>
      </c>
      <c r="L6"/>
    </row>
    <row r="7" spans="1:12" ht="15" customHeight="1" thickBot="1">
      <c r="A7" s="9">
        <f>INDEX('Point Grid'!$C$8:$I$35,MATCH($A$1,'Point Grid'!$A$8:$A$35,0),MATCH(A6,'Point Grid'!$C$7:$I$7,0))</f>
        <v>1</v>
      </c>
      <c r="B7" s="49"/>
      <c r="C7" s="49"/>
      <c r="D7" s="49"/>
      <c r="E7" s="49"/>
      <c r="F7" s="49"/>
      <c r="G7" s="49"/>
      <c r="H7" s="49"/>
      <c r="I7" s="26"/>
      <c r="K7" s="57" t="s">
        <v>337</v>
      </c>
      <c r="L7"/>
    </row>
    <row r="8" spans="1:12" ht="15" customHeight="1" thickBot="1">
      <c r="A8" s="5"/>
      <c r="B8" s="49"/>
      <c r="C8" s="49"/>
      <c r="D8" s="49"/>
      <c r="E8" s="49"/>
      <c r="F8" s="49"/>
      <c r="G8" s="49"/>
      <c r="H8" s="49"/>
      <c r="I8" s="26"/>
      <c r="K8" s="58"/>
      <c r="L8"/>
    </row>
    <row r="9" spans="1:12" ht="15" customHeight="1">
      <c r="A9" s="31"/>
      <c r="B9" s="49"/>
      <c r="C9" s="49"/>
      <c r="D9" s="49"/>
      <c r="E9" s="49"/>
      <c r="F9" s="49"/>
      <c r="G9" s="49"/>
      <c r="H9" s="49"/>
      <c r="I9" s="26"/>
      <c r="K9" s="59" t="s">
        <v>950</v>
      </c>
      <c r="L9"/>
    </row>
    <row r="10" spans="1:12" ht="15" customHeight="1">
      <c r="A10" s="29" t="s">
        <v>3</v>
      </c>
      <c r="B10" s="49" t="s">
        <v>338</v>
      </c>
      <c r="C10" s="49"/>
      <c r="D10" s="49"/>
      <c r="E10" s="49"/>
      <c r="F10" s="49"/>
      <c r="G10" s="49"/>
      <c r="H10" s="49"/>
      <c r="I10" s="26"/>
      <c r="K10" s="56" t="s">
        <v>951</v>
      </c>
      <c r="L10"/>
    </row>
    <row r="11" spans="1:12" ht="15" customHeight="1" thickBot="1">
      <c r="A11" s="9">
        <f>INDEX('Point Grid'!$C$8:$I$35,MATCH($A$1,'Point Grid'!$A$8:$A$35,0),MATCH(A10,'Point Grid'!$C$7:$I$7,0))</f>
        <v>1</v>
      </c>
      <c r="B11" s="22"/>
      <c r="C11" s="49"/>
      <c r="D11" s="49"/>
      <c r="E11" s="49"/>
      <c r="F11" s="49"/>
      <c r="G11" s="49"/>
      <c r="H11" s="49"/>
      <c r="I11" s="26"/>
      <c r="K11" s="55" t="s">
        <v>339</v>
      </c>
      <c r="L11"/>
    </row>
    <row r="12" spans="1:12" ht="15" customHeight="1" thickBot="1">
      <c r="A12" s="5"/>
      <c r="B12" s="22"/>
      <c r="C12" s="49"/>
      <c r="D12" s="49"/>
      <c r="E12" s="49"/>
      <c r="F12" s="49"/>
      <c r="G12" s="49"/>
      <c r="H12" s="49"/>
      <c r="I12" s="26"/>
      <c r="K12" s="55" t="s">
        <v>340</v>
      </c>
      <c r="L12"/>
    </row>
    <row r="13" spans="1:12" ht="15" customHeight="1">
      <c r="A13" s="31"/>
      <c r="B13" s="22"/>
      <c r="C13" s="22"/>
      <c r="D13" s="22"/>
      <c r="E13" s="22"/>
      <c r="F13" s="22"/>
      <c r="G13" s="22"/>
      <c r="H13" s="22"/>
      <c r="I13" s="26"/>
      <c r="K13" s="55" t="s">
        <v>341</v>
      </c>
      <c r="L13"/>
    </row>
    <row r="14" spans="1:12" ht="15" customHeight="1">
      <c r="A14" s="29" t="s">
        <v>4</v>
      </c>
      <c r="B14" s="22" t="s">
        <v>342</v>
      </c>
      <c r="C14" s="22"/>
      <c r="D14" s="22"/>
      <c r="E14" s="22"/>
      <c r="F14" s="22"/>
      <c r="G14" s="22"/>
      <c r="H14" s="22"/>
      <c r="I14" s="26"/>
      <c r="K14" s="54"/>
      <c r="L14"/>
    </row>
    <row r="15" spans="1:12" ht="15" customHeight="1" thickBot="1">
      <c r="A15" s="9">
        <f>INDEX('Point Grid'!$C$8:$I$35,MATCH($A$1,'Point Grid'!$A$8:$A$35,0),MATCH(A14,'Point Grid'!$C$7:$I$7,0))</f>
        <v>0.5</v>
      </c>
      <c r="B15" s="22"/>
      <c r="C15" s="22"/>
      <c r="D15" s="22"/>
      <c r="E15" s="22"/>
      <c r="F15" s="22"/>
      <c r="G15" s="22"/>
      <c r="H15" s="22"/>
      <c r="I15" s="26"/>
      <c r="K15" s="54" t="s">
        <v>343</v>
      </c>
      <c r="L15"/>
    </row>
    <row r="16" spans="1:12" ht="15" customHeight="1" thickBot="1">
      <c r="A16" s="5"/>
      <c r="B16" s="22"/>
      <c r="C16" s="22"/>
      <c r="D16" s="22"/>
      <c r="E16" s="22"/>
      <c r="F16" s="22"/>
      <c r="G16" s="22"/>
      <c r="H16" s="22"/>
      <c r="I16" s="26"/>
      <c r="K16" s="54" t="s">
        <v>344</v>
      </c>
      <c r="L16"/>
    </row>
    <row r="17" spans="1:12" ht="15" customHeight="1">
      <c r="A17" s="25"/>
      <c r="B17" s="22"/>
      <c r="C17" s="22"/>
      <c r="D17" s="22"/>
      <c r="E17" s="22"/>
      <c r="F17" s="22"/>
      <c r="G17" s="22"/>
      <c r="H17" s="22"/>
      <c r="I17" s="26"/>
      <c r="K17" s="55" t="s">
        <v>345</v>
      </c>
      <c r="L17"/>
    </row>
    <row r="18" spans="1:12" ht="15" customHeight="1" thickBot="1">
      <c r="A18" s="27"/>
      <c r="B18" s="27"/>
      <c r="C18" s="27"/>
      <c r="D18" s="27"/>
      <c r="E18" s="27"/>
      <c r="F18" s="27"/>
      <c r="G18" s="27"/>
      <c r="H18" s="27"/>
      <c r="I18" s="28"/>
      <c r="K18" s="55" t="s">
        <v>346</v>
      </c>
      <c r="L18"/>
    </row>
    <row r="19" spans="1:12" ht="15" customHeight="1">
      <c r="A19"/>
      <c r="B19"/>
      <c r="C19"/>
      <c r="D19"/>
      <c r="E19"/>
      <c r="F19"/>
      <c r="G19"/>
      <c r="H19"/>
      <c r="I19"/>
      <c r="K19" s="55" t="s">
        <v>347</v>
      </c>
      <c r="L19"/>
    </row>
    <row r="20" spans="1:12" ht="15" customHeight="1">
      <c r="A20"/>
      <c r="B20"/>
      <c r="C20"/>
      <c r="D20"/>
      <c r="E20"/>
      <c r="F20"/>
      <c r="G20"/>
      <c r="H20"/>
      <c r="I20"/>
      <c r="K20" s="55" t="s">
        <v>348</v>
      </c>
      <c r="L20"/>
    </row>
    <row r="21" spans="1:12" ht="15" customHeight="1">
      <c r="A21"/>
      <c r="B21"/>
      <c r="C21"/>
      <c r="D21"/>
      <c r="E21"/>
      <c r="F21"/>
      <c r="G21"/>
      <c r="H21"/>
      <c r="I21"/>
      <c r="K21" s="55" t="s">
        <v>349</v>
      </c>
      <c r="L21"/>
    </row>
    <row r="22" spans="1:12" ht="15" customHeight="1">
      <c r="A22"/>
      <c r="B22"/>
      <c r="C22"/>
      <c r="D22"/>
      <c r="E22"/>
      <c r="F22"/>
      <c r="G22"/>
      <c r="H22"/>
      <c r="I22"/>
      <c r="K22" s="55" t="s">
        <v>350</v>
      </c>
      <c r="L22"/>
    </row>
    <row r="23" spans="1:12" ht="15" customHeight="1">
      <c r="A23"/>
      <c r="B23"/>
      <c r="C23"/>
      <c r="D23"/>
      <c r="E23"/>
      <c r="F23"/>
      <c r="G23"/>
      <c r="H23"/>
      <c r="I23"/>
      <c r="K23" s="54"/>
      <c r="L23"/>
    </row>
    <row r="24" spans="1:12" ht="15" customHeight="1">
      <c r="A24"/>
      <c r="B24"/>
      <c r="C24"/>
      <c r="D24"/>
      <c r="E24"/>
      <c r="F24"/>
      <c r="G24"/>
      <c r="H24"/>
      <c r="I24"/>
      <c r="K24" s="54" t="s">
        <v>312</v>
      </c>
      <c r="L24"/>
    </row>
    <row r="25" spans="1:12" ht="15" customHeight="1">
      <c r="A25"/>
      <c r="B25"/>
      <c r="C25"/>
      <c r="D25"/>
      <c r="E25"/>
      <c r="F25"/>
      <c r="G25"/>
      <c r="H25"/>
      <c r="I25"/>
      <c r="K25" s="54" t="s">
        <v>351</v>
      </c>
      <c r="L25"/>
    </row>
    <row r="26" spans="1:12" ht="15" customHeight="1">
      <c r="A26"/>
      <c r="B26"/>
      <c r="C26"/>
      <c r="D26"/>
      <c r="E26"/>
      <c r="F26"/>
      <c r="G26"/>
      <c r="H26"/>
      <c r="I26"/>
      <c r="K26" s="54" t="s">
        <v>952</v>
      </c>
      <c r="L26"/>
    </row>
    <row r="27" spans="1:12" ht="15" customHeight="1">
      <c r="A27"/>
      <c r="B27"/>
      <c r="C27"/>
      <c r="D27"/>
      <c r="E27"/>
      <c r="F27"/>
      <c r="G27"/>
      <c r="H27"/>
      <c r="I27"/>
      <c r="K27" s="54" t="s">
        <v>352</v>
      </c>
      <c r="L27"/>
    </row>
    <row r="28" spans="1:12" ht="15" customHeight="1">
      <c r="A28"/>
      <c r="B28"/>
      <c r="C28"/>
      <c r="D28"/>
      <c r="E28"/>
      <c r="F28"/>
      <c r="G28"/>
      <c r="H28"/>
      <c r="I28"/>
      <c r="K28" s="54"/>
      <c r="L28"/>
    </row>
    <row r="29" spans="1:12" ht="15" customHeight="1">
      <c r="A29"/>
      <c r="B29"/>
      <c r="C29"/>
      <c r="D29"/>
      <c r="E29"/>
      <c r="F29"/>
      <c r="G29"/>
      <c r="H29"/>
      <c r="I29"/>
      <c r="K29" s="54"/>
      <c r="L29"/>
    </row>
    <row r="30" spans="1:12" ht="15" customHeight="1">
      <c r="A30"/>
      <c r="B30"/>
      <c r="C30"/>
      <c r="D30"/>
      <c r="E30"/>
      <c r="F30"/>
      <c r="G30"/>
      <c r="H30"/>
      <c r="I30"/>
      <c r="K30" s="54"/>
      <c r="L30"/>
    </row>
    <row r="31" spans="1:12" ht="15" customHeight="1">
      <c r="A31"/>
      <c r="B31"/>
      <c r="C31"/>
      <c r="D31"/>
      <c r="E31"/>
      <c r="F31"/>
      <c r="G31"/>
      <c r="H31"/>
      <c r="I31"/>
      <c r="K31" s="54"/>
      <c r="L31"/>
    </row>
    <row r="32" spans="1:12" ht="15" customHeight="1">
      <c r="A32"/>
      <c r="B32"/>
      <c r="C32"/>
      <c r="D32"/>
      <c r="E32"/>
      <c r="F32"/>
      <c r="G32"/>
      <c r="H32"/>
      <c r="I32"/>
      <c r="K32" s="54"/>
      <c r="L32"/>
    </row>
    <row r="33" spans="1:12" ht="15" customHeight="1">
      <c r="A33"/>
      <c r="B33"/>
      <c r="C33"/>
      <c r="D33"/>
      <c r="E33"/>
      <c r="F33"/>
      <c r="G33"/>
      <c r="H33"/>
      <c r="I33"/>
      <c r="K33" s="54"/>
      <c r="L33"/>
    </row>
    <row r="34" spans="1:12" ht="15" customHeight="1">
      <c r="A34"/>
      <c r="B34"/>
      <c r="C34"/>
      <c r="D34"/>
      <c r="E34"/>
      <c r="F34"/>
      <c r="G34"/>
      <c r="H34"/>
      <c r="I34"/>
      <c r="K34" s="54"/>
      <c r="L34"/>
    </row>
    <row r="35" spans="1:12" ht="15" customHeight="1">
      <c r="K35" s="54"/>
      <c r="L35"/>
    </row>
    <row r="36" spans="1:12" ht="15" customHeight="1">
      <c r="K36" s="54"/>
      <c r="L36"/>
    </row>
    <row r="37" spans="1:12" ht="15" customHeight="1">
      <c r="K37" s="54"/>
      <c r="L37"/>
    </row>
    <row r="38" spans="1:12" ht="15" customHeight="1">
      <c r="K38" s="54"/>
      <c r="L38"/>
    </row>
    <row r="39" spans="1:12" ht="15" customHeight="1">
      <c r="K39" s="54"/>
      <c r="L39"/>
    </row>
    <row r="40" spans="1:12" ht="15" customHeight="1">
      <c r="K40" s="54"/>
      <c r="L40"/>
    </row>
    <row r="41" spans="1:12" ht="15" customHeight="1">
      <c r="K41" s="54"/>
      <c r="L41"/>
    </row>
    <row r="42" spans="1:12" ht="15" customHeight="1">
      <c r="K42" s="54"/>
      <c r="L42"/>
    </row>
    <row r="43" spans="1:12" ht="15" customHeight="1">
      <c r="K43" s="54"/>
      <c r="L43"/>
    </row>
    <row r="44" spans="1:12" ht="15" customHeight="1">
      <c r="K44" s="54"/>
      <c r="L44"/>
    </row>
    <row r="45" spans="1:12" ht="15" customHeight="1">
      <c r="K45" s="54"/>
      <c r="L45"/>
    </row>
    <row r="46" spans="1:12" ht="15" customHeight="1">
      <c r="K46"/>
      <c r="L46"/>
    </row>
    <row r="47" spans="1:12" ht="15" customHeight="1">
      <c r="K47"/>
      <c r="L47"/>
    </row>
    <row r="48" spans="1:12" ht="15" customHeight="1">
      <c r="K48"/>
      <c r="L48"/>
    </row>
    <row r="49" spans="11:12" ht="15" customHeight="1">
      <c r="K49"/>
      <c r="L49"/>
    </row>
    <row r="50" spans="11:12" ht="15" customHeight="1">
      <c r="K50"/>
      <c r="L50"/>
    </row>
    <row r="51" spans="11:12" ht="15" customHeight="1">
      <c r="K51"/>
      <c r="L51"/>
    </row>
    <row r="52" spans="11:12" ht="15" customHeight="1">
      <c r="K52"/>
      <c r="L52"/>
    </row>
    <row r="53" spans="11:12" ht="15" customHeight="1">
      <c r="K53"/>
      <c r="L53"/>
    </row>
    <row r="54" spans="11:12" ht="15" customHeight="1">
      <c r="K54"/>
      <c r="L54"/>
    </row>
    <row r="55" spans="11:12" ht="15" customHeight="1">
      <c r="K55"/>
      <c r="L55"/>
    </row>
    <row r="56" spans="11:12" ht="15" customHeight="1">
      <c r="K56"/>
      <c r="L56"/>
    </row>
    <row r="57" spans="11:12" ht="15" customHeight="1">
      <c r="K57"/>
      <c r="L57"/>
    </row>
    <row r="58" spans="11:12" ht="15" customHeight="1">
      <c r="K58"/>
      <c r="L58"/>
    </row>
    <row r="59" spans="11:12" ht="15" customHeight="1">
      <c r="K59"/>
      <c r="L59"/>
    </row>
    <row r="60" spans="11:12" ht="15" customHeight="1">
      <c r="K60"/>
      <c r="L60"/>
    </row>
    <row r="61" spans="11:12" ht="15" customHeight="1">
      <c r="K61"/>
      <c r="L61"/>
    </row>
    <row r="62" spans="11:12" ht="15" customHeight="1">
      <c r="K62"/>
      <c r="L62"/>
    </row>
    <row r="63" spans="11:12" ht="15" customHeight="1">
      <c r="K63"/>
      <c r="L63"/>
    </row>
    <row r="64" spans="11:12" ht="15" customHeight="1">
      <c r="K64"/>
      <c r="L64"/>
    </row>
    <row r="65" spans="11:12" ht="15" customHeight="1">
      <c r="K65"/>
      <c r="L65"/>
    </row>
    <row r="66" spans="11:12" ht="15" customHeight="1">
      <c r="K66"/>
      <c r="L66"/>
    </row>
    <row r="67" spans="11:12" ht="15" customHeight="1">
      <c r="K67"/>
      <c r="L67"/>
    </row>
    <row r="68" spans="11:12" ht="15" customHeight="1">
      <c r="K68"/>
      <c r="L68"/>
    </row>
    <row r="69" spans="11:12" ht="15" customHeight="1">
      <c r="K69"/>
      <c r="L69"/>
    </row>
    <row r="70" spans="11:12" ht="15" customHeight="1">
      <c r="K70"/>
      <c r="L70"/>
    </row>
    <row r="71" spans="11:12" ht="15" customHeight="1">
      <c r="K71"/>
      <c r="L71"/>
    </row>
    <row r="72" spans="11:12" ht="15" customHeight="1">
      <c r="K72"/>
      <c r="L72"/>
    </row>
    <row r="73" spans="11:12" ht="15" customHeight="1">
      <c r="K73"/>
      <c r="L73"/>
    </row>
    <row r="74" spans="11:12" ht="15" customHeight="1">
      <c r="K74"/>
      <c r="L74"/>
    </row>
    <row r="75" spans="11:12" ht="15" customHeight="1">
      <c r="K75"/>
      <c r="L75"/>
    </row>
    <row r="76" spans="11:12" ht="15" customHeight="1">
      <c r="K76"/>
      <c r="L76"/>
    </row>
    <row r="77" spans="11:12" ht="15" customHeight="1">
      <c r="K77"/>
      <c r="L77"/>
    </row>
    <row r="78" spans="11:12" ht="15" customHeight="1">
      <c r="K78"/>
      <c r="L78"/>
    </row>
    <row r="79" spans="11:12" ht="15" customHeight="1">
      <c r="K79"/>
      <c r="L79"/>
    </row>
    <row r="80" spans="11:12" ht="15" customHeight="1">
      <c r="K80"/>
      <c r="L80"/>
    </row>
    <row r="81" spans="11:12" ht="15" customHeight="1">
      <c r="K81"/>
      <c r="L81"/>
    </row>
    <row r="82" spans="11:12" ht="15" customHeight="1">
      <c r="K82"/>
      <c r="L82"/>
    </row>
    <row r="83" spans="11:12" ht="15" customHeight="1">
      <c r="K83"/>
      <c r="L83"/>
    </row>
    <row r="84" spans="11:12" ht="15" customHeight="1">
      <c r="K84"/>
      <c r="L84"/>
    </row>
    <row r="85" spans="11:12" ht="15" customHeight="1">
      <c r="K85"/>
      <c r="L85"/>
    </row>
    <row r="86" spans="11:12" ht="15" customHeight="1">
      <c r="K86"/>
      <c r="L86"/>
    </row>
    <row r="87" spans="11:12" ht="15" customHeight="1">
      <c r="K87"/>
      <c r="L87"/>
    </row>
    <row r="88" spans="11:12" ht="15" customHeight="1">
      <c r="K88"/>
      <c r="L88"/>
    </row>
    <row r="89" spans="11:12" ht="15" customHeight="1">
      <c r="K89"/>
      <c r="L89"/>
    </row>
    <row r="90" spans="11:12" ht="15" customHeight="1">
      <c r="K90"/>
      <c r="L90"/>
    </row>
  </sheetData>
  <mergeCells count="1">
    <mergeCell ref="H1:I1"/>
  </mergeCells>
  <conditionalFormatting sqref="B1">
    <cfRule type="cellIs" dxfId="82" priority="1" operator="equal">
      <formula>"Incomplete"</formula>
    </cfRule>
    <cfRule type="cellIs" dxfId="81" priority="2" operator="equal">
      <formula>"Flag for Review"</formula>
    </cfRule>
    <cfRule type="cellIs" dxfId="80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S93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9">
      <c r="A1" s="7">
        <v>6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s="50" t="s">
        <v>316</v>
      </c>
      <c r="L1" s="50"/>
      <c r="M1" s="50"/>
      <c r="N1" s="50"/>
      <c r="O1" s="50"/>
      <c r="P1" s="50"/>
      <c r="Q1" s="50"/>
      <c r="R1" s="50"/>
      <c r="S1" s="50"/>
    </row>
    <row r="2" spans="1:19">
      <c r="A2" s="25"/>
      <c r="B2" s="22"/>
      <c r="C2" s="22"/>
      <c r="D2" s="22"/>
      <c r="E2" s="22"/>
      <c r="F2" s="22"/>
      <c r="G2" s="22"/>
      <c r="H2" s="22"/>
      <c r="I2" s="26"/>
      <c r="K2" s="50"/>
      <c r="L2" s="50"/>
      <c r="M2" s="50"/>
      <c r="N2" s="50"/>
      <c r="O2" s="50"/>
      <c r="P2" s="50"/>
      <c r="Q2" s="50"/>
      <c r="R2" s="50"/>
      <c r="S2" s="50"/>
    </row>
    <row r="3" spans="1:19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 s="50"/>
      <c r="L3" s="50"/>
      <c r="M3" s="50"/>
      <c r="N3" s="50"/>
      <c r="O3" s="50"/>
      <c r="P3" s="50"/>
      <c r="Q3" s="50"/>
      <c r="R3" s="50"/>
      <c r="S3" s="50"/>
    </row>
    <row r="4" spans="1:19" ht="15" customHeight="1">
      <c r="A4" s="9">
        <f>INDEX('Point Grid'!B:B,MATCH($A$1,'Point Grid'!A:A,0))</f>
        <v>2</v>
      </c>
      <c r="B4" s="22"/>
      <c r="C4" s="22"/>
      <c r="D4" s="22"/>
      <c r="E4" s="22"/>
      <c r="F4" s="22"/>
      <c r="G4" s="22"/>
      <c r="H4" s="22"/>
      <c r="I4" s="26"/>
      <c r="K4" s="50"/>
      <c r="L4" s="50"/>
      <c r="M4" s="50"/>
      <c r="N4" s="50"/>
      <c r="O4" s="50"/>
      <c r="P4" s="50"/>
      <c r="Q4" s="50"/>
      <c r="R4" s="50"/>
      <c r="S4" s="50"/>
    </row>
    <row r="5" spans="1:19" ht="15" customHeight="1">
      <c r="A5" s="25"/>
      <c r="B5" s="22"/>
      <c r="C5" s="22"/>
      <c r="D5" s="22"/>
      <c r="E5" s="22"/>
      <c r="F5" s="22"/>
      <c r="G5" s="22"/>
      <c r="H5" s="22"/>
      <c r="I5" s="26"/>
      <c r="K5" s="50" t="s">
        <v>2</v>
      </c>
      <c r="L5" s="1" t="s">
        <v>60</v>
      </c>
      <c r="P5" s="50"/>
      <c r="Q5" s="50"/>
      <c r="R5" s="50"/>
      <c r="S5" s="50"/>
    </row>
    <row r="6" spans="1:19" ht="15" customHeight="1">
      <c r="A6" s="29" t="s">
        <v>2</v>
      </c>
      <c r="B6" s="22" t="s">
        <v>41</v>
      </c>
      <c r="C6" s="22"/>
      <c r="D6" s="22"/>
      <c r="E6" s="22"/>
      <c r="F6" s="22"/>
      <c r="G6" s="22"/>
      <c r="H6" s="22"/>
      <c r="I6" s="26"/>
      <c r="K6" s="50"/>
    </row>
    <row r="7" spans="1:19" ht="15" customHeight="1" thickBot="1">
      <c r="A7" s="9">
        <f>INDEX('Point Grid'!$C$8:$I$35,MATCH($A$1,'Point Grid'!$A$8:$A$35,0),MATCH(A6,'Point Grid'!$C$7:$I$7,0))</f>
        <v>2</v>
      </c>
      <c r="B7" s="22">
        <v>1</v>
      </c>
      <c r="C7" s="22" t="s">
        <v>42</v>
      </c>
      <c r="D7" s="22"/>
      <c r="E7" s="22"/>
      <c r="F7" s="22"/>
      <c r="G7" s="22"/>
      <c r="H7" s="22"/>
      <c r="I7" s="26"/>
      <c r="K7" s="50"/>
      <c r="L7" s="50" t="s">
        <v>353</v>
      </c>
      <c r="P7" s="50"/>
      <c r="Q7" s="50"/>
      <c r="R7" s="50"/>
      <c r="S7" s="50"/>
    </row>
    <row r="8" spans="1:19" ht="15" customHeight="1" thickBot="1">
      <c r="A8" s="5"/>
      <c r="B8" s="22">
        <v>2</v>
      </c>
      <c r="C8" s="22" t="s">
        <v>43</v>
      </c>
      <c r="D8" s="22"/>
      <c r="E8" s="22"/>
      <c r="F8" s="22"/>
      <c r="G8" s="22"/>
      <c r="H8" s="22"/>
      <c r="I8" s="26"/>
      <c r="K8" s="50"/>
      <c r="L8" s="50"/>
      <c r="M8" s="24" t="s">
        <v>354</v>
      </c>
      <c r="P8" s="50"/>
      <c r="Q8" s="50"/>
      <c r="R8" s="50"/>
      <c r="S8" s="50"/>
    </row>
    <row r="9" spans="1:19" ht="15" customHeight="1">
      <c r="A9" s="31"/>
      <c r="B9" s="22">
        <v>3</v>
      </c>
      <c r="C9" s="22" t="s">
        <v>44</v>
      </c>
      <c r="D9" s="22"/>
      <c r="E9" s="22"/>
      <c r="F9" s="22"/>
      <c r="G9" s="22"/>
      <c r="H9" s="22"/>
      <c r="I9" s="26"/>
      <c r="K9" s="50"/>
      <c r="L9" s="50"/>
      <c r="P9" s="50"/>
      <c r="Q9" s="50"/>
      <c r="R9" s="50"/>
      <c r="S9" s="50"/>
    </row>
    <row r="10" spans="1:19" ht="15" customHeight="1">
      <c r="A10" s="31"/>
      <c r="B10" s="22">
        <v>4</v>
      </c>
      <c r="C10" s="22" t="s">
        <v>981</v>
      </c>
      <c r="D10" s="22"/>
      <c r="E10" s="22"/>
      <c r="F10" s="22"/>
      <c r="G10" s="22"/>
      <c r="H10" s="22"/>
      <c r="I10" s="26"/>
      <c r="K10" s="50"/>
      <c r="L10" s="50" t="s">
        <v>45</v>
      </c>
      <c r="P10" s="50"/>
      <c r="Q10" s="50"/>
      <c r="R10" s="50"/>
      <c r="S10" s="50"/>
    </row>
    <row r="11" spans="1:19" ht="15" customHeight="1">
      <c r="A11" s="31"/>
      <c r="B11" s="22"/>
      <c r="C11" s="22"/>
      <c r="D11" s="22"/>
      <c r="E11" s="22"/>
      <c r="F11" s="22"/>
      <c r="G11" s="22"/>
      <c r="H11" s="22"/>
      <c r="I11" s="26"/>
      <c r="K11" s="50"/>
      <c r="L11" s="50"/>
      <c r="M11" s="24" t="s">
        <v>46</v>
      </c>
      <c r="P11" s="50"/>
      <c r="Q11" s="50"/>
      <c r="R11" s="50"/>
      <c r="S11" s="50"/>
    </row>
    <row r="12" spans="1:19" ht="15" customHeight="1">
      <c r="A12" s="25"/>
      <c r="B12" s="22"/>
      <c r="C12" s="22"/>
      <c r="D12" s="22"/>
      <c r="E12" s="22"/>
      <c r="F12" s="22"/>
      <c r="G12" s="22"/>
      <c r="H12" s="22"/>
      <c r="I12" s="26"/>
      <c r="K12" s="50"/>
      <c r="L12" s="50"/>
      <c r="P12" s="50"/>
      <c r="Q12" s="50"/>
      <c r="R12" s="50"/>
      <c r="S12" s="50"/>
    </row>
    <row r="13" spans="1:19" ht="15" customHeight="1" thickBot="1">
      <c r="A13" s="27"/>
      <c r="B13" s="27"/>
      <c r="C13" s="27"/>
      <c r="D13" s="27"/>
      <c r="E13" s="27"/>
      <c r="F13" s="27"/>
      <c r="G13" s="27"/>
      <c r="H13" s="27"/>
      <c r="I13" s="28"/>
      <c r="K13" s="50"/>
      <c r="L13" s="50" t="s">
        <v>47</v>
      </c>
      <c r="P13" s="50"/>
      <c r="Q13" s="50"/>
      <c r="R13" s="50"/>
      <c r="S13" s="50"/>
    </row>
    <row r="14" spans="1:19" ht="15" customHeight="1">
      <c r="A14"/>
      <c r="B14"/>
      <c r="C14"/>
      <c r="D14"/>
      <c r="E14"/>
      <c r="F14"/>
      <c r="G14"/>
      <c r="H14"/>
      <c r="I14"/>
      <c r="J14"/>
      <c r="K14" s="50"/>
      <c r="L14" s="50"/>
      <c r="M14" s="24" t="s">
        <v>233</v>
      </c>
      <c r="P14" s="50"/>
      <c r="Q14" s="50"/>
      <c r="R14" s="50"/>
      <c r="S14" s="50"/>
    </row>
    <row r="15" spans="1:19" ht="15" customHeight="1">
      <c r="A15"/>
      <c r="B15"/>
      <c r="C15"/>
      <c r="D15"/>
      <c r="E15"/>
      <c r="F15"/>
      <c r="G15"/>
      <c r="H15"/>
      <c r="I15"/>
      <c r="J15"/>
      <c r="K15" s="50"/>
      <c r="L15" s="50"/>
      <c r="P15" s="50"/>
      <c r="Q15" s="50"/>
      <c r="R15" s="50"/>
      <c r="S15" s="50"/>
    </row>
    <row r="16" spans="1:19" ht="15" customHeight="1">
      <c r="A16"/>
      <c r="B16"/>
      <c r="C16"/>
      <c r="D16"/>
      <c r="E16"/>
      <c r="F16"/>
      <c r="G16"/>
      <c r="H16"/>
      <c r="I16"/>
      <c r="J16"/>
      <c r="K16" s="50"/>
      <c r="L16" s="474" t="s">
        <v>982</v>
      </c>
      <c r="P16" s="50"/>
      <c r="Q16" s="50"/>
      <c r="R16" s="50"/>
      <c r="S16" s="50"/>
    </row>
    <row r="17" spans="1:19" ht="15" customHeight="1">
      <c r="A17"/>
      <c r="B17"/>
      <c r="C17"/>
      <c r="D17"/>
      <c r="E17"/>
      <c r="F17"/>
      <c r="G17"/>
      <c r="H17"/>
      <c r="I17"/>
      <c r="J17"/>
      <c r="K17" s="50"/>
      <c r="L17" s="50"/>
      <c r="M17" s="24" t="s">
        <v>984</v>
      </c>
      <c r="P17" s="50"/>
      <c r="Q17" s="50"/>
      <c r="R17" s="50"/>
      <c r="S17" s="50"/>
    </row>
    <row r="18" spans="1:19" ht="15" customHeight="1">
      <c r="A18"/>
      <c r="B18"/>
      <c r="C18"/>
      <c r="D18"/>
      <c r="E18"/>
      <c r="F18"/>
      <c r="G18"/>
      <c r="H18"/>
      <c r="I18"/>
      <c r="J18"/>
      <c r="K18" s="50"/>
      <c r="L18" s="60"/>
      <c r="M18" s="24" t="s">
        <v>983</v>
      </c>
      <c r="P18" s="50"/>
      <c r="Q18" s="50"/>
      <c r="R18" s="50"/>
      <c r="S18" s="50"/>
    </row>
    <row r="19" spans="1:19" ht="15" customHeight="1">
      <c r="A19"/>
      <c r="B19"/>
      <c r="C19"/>
      <c r="D19"/>
      <c r="E19"/>
      <c r="F19"/>
      <c r="G19"/>
      <c r="H19"/>
      <c r="I19"/>
      <c r="J19"/>
      <c r="K19" s="50"/>
      <c r="L19" s="50"/>
      <c r="P19" s="50"/>
      <c r="Q19" s="50"/>
      <c r="R19" s="50"/>
      <c r="S19" s="50"/>
    </row>
    <row r="20" spans="1:19" ht="15" customHeight="1">
      <c r="A20"/>
      <c r="B20"/>
      <c r="C20"/>
      <c r="D20"/>
      <c r="E20"/>
      <c r="F20"/>
      <c r="G20"/>
      <c r="H20"/>
      <c r="I20"/>
      <c r="J20"/>
      <c r="K20" s="50"/>
      <c r="L20" s="50"/>
      <c r="P20" s="50"/>
      <c r="Q20" s="50"/>
      <c r="R20" s="50"/>
      <c r="S20" s="50"/>
    </row>
    <row r="21" spans="1:19" ht="15" customHeight="1">
      <c r="A21"/>
      <c r="B21"/>
      <c r="C21"/>
      <c r="D21"/>
      <c r="E21"/>
      <c r="F21"/>
      <c r="G21"/>
      <c r="H21"/>
      <c r="I21"/>
      <c r="J21"/>
      <c r="K21" s="50"/>
      <c r="L21" s="50"/>
      <c r="M21" s="50"/>
      <c r="N21" s="50"/>
      <c r="O21" s="50"/>
      <c r="P21" s="50"/>
      <c r="Q21" s="50"/>
      <c r="R21" s="50"/>
      <c r="S21" s="50"/>
    </row>
    <row r="22" spans="1:19" ht="15" customHeight="1">
      <c r="A22"/>
      <c r="B22"/>
      <c r="C22"/>
      <c r="D22"/>
      <c r="E22"/>
      <c r="F22"/>
      <c r="G22"/>
      <c r="H22"/>
      <c r="I22"/>
      <c r="J22"/>
      <c r="K22" s="50"/>
      <c r="L22" s="50"/>
      <c r="M22" s="50"/>
      <c r="N22" s="50"/>
      <c r="O22" s="50"/>
      <c r="P22" s="50"/>
      <c r="Q22" s="50"/>
      <c r="R22" s="50"/>
      <c r="S22" s="50"/>
    </row>
    <row r="23" spans="1:19" ht="15" customHeight="1">
      <c r="A23"/>
      <c r="B23"/>
      <c r="C23"/>
      <c r="D23"/>
      <c r="E23"/>
      <c r="F23"/>
      <c r="G23"/>
      <c r="H23"/>
      <c r="I23"/>
      <c r="J23"/>
      <c r="K23" s="50"/>
      <c r="L23" s="50"/>
      <c r="M23" s="50"/>
      <c r="N23" s="50"/>
      <c r="O23" s="50"/>
      <c r="P23" s="50"/>
      <c r="Q23" s="50"/>
      <c r="R23" s="50"/>
      <c r="S23" s="50"/>
    </row>
    <row r="24" spans="1:19" ht="15" customHeight="1">
      <c r="A24"/>
      <c r="B24"/>
      <c r="C24"/>
      <c r="D24"/>
      <c r="E24"/>
      <c r="F24"/>
      <c r="G24"/>
      <c r="H24"/>
      <c r="I24"/>
      <c r="J24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" customHeight="1">
      <c r="A25"/>
      <c r="B25"/>
      <c r="C25"/>
      <c r="D25"/>
      <c r="E25"/>
      <c r="F25"/>
      <c r="G25"/>
      <c r="H25"/>
      <c r="I25"/>
      <c r="J25"/>
      <c r="K25" s="50"/>
      <c r="L25" s="50"/>
      <c r="M25" s="50"/>
      <c r="N25" s="50"/>
      <c r="O25" s="50"/>
      <c r="P25" s="50"/>
      <c r="Q25" s="50"/>
      <c r="R25" s="50"/>
      <c r="S25" s="50"/>
    </row>
    <row r="26" spans="1:19" ht="15" customHeight="1">
      <c r="A26"/>
      <c r="B26"/>
      <c r="C26"/>
      <c r="D26"/>
      <c r="E26"/>
      <c r="F26"/>
      <c r="G26"/>
      <c r="H26"/>
      <c r="I26"/>
      <c r="J26"/>
      <c r="K26" s="50"/>
      <c r="L26" s="50"/>
      <c r="M26" s="50"/>
      <c r="N26" s="50"/>
      <c r="O26" s="50"/>
      <c r="P26" s="50"/>
      <c r="Q26" s="50"/>
      <c r="R26" s="50"/>
      <c r="S26" s="50"/>
    </row>
    <row r="27" spans="1:19" ht="15" customHeight="1">
      <c r="A27"/>
      <c r="B27"/>
      <c r="C27"/>
      <c r="D27"/>
      <c r="E27"/>
      <c r="F27"/>
      <c r="G27"/>
      <c r="H27"/>
      <c r="I27"/>
      <c r="J27"/>
      <c r="K27" s="50"/>
      <c r="L27" s="50"/>
      <c r="M27" s="50"/>
      <c r="N27" s="50"/>
      <c r="O27" s="50"/>
      <c r="P27" s="50"/>
      <c r="Q27" s="50"/>
      <c r="R27" s="50"/>
      <c r="S27" s="50"/>
    </row>
    <row r="28" spans="1:19" ht="15" customHeight="1">
      <c r="A28"/>
      <c r="B28"/>
      <c r="C28"/>
      <c r="D28"/>
      <c r="E28"/>
      <c r="F28"/>
      <c r="G28"/>
      <c r="H28"/>
      <c r="I28"/>
      <c r="J28"/>
      <c r="K28" s="50"/>
      <c r="L28" s="50"/>
      <c r="M28" s="50"/>
      <c r="N28" s="50"/>
      <c r="O28" s="50"/>
      <c r="P28" s="50"/>
      <c r="Q28" s="50"/>
      <c r="R28" s="50"/>
      <c r="S28" s="50"/>
    </row>
    <row r="29" spans="1:19" ht="15" customHeight="1">
      <c r="A29"/>
      <c r="B29"/>
      <c r="C29"/>
      <c r="D29"/>
      <c r="E29"/>
      <c r="F29"/>
      <c r="G29"/>
      <c r="H29"/>
      <c r="I29"/>
      <c r="J29"/>
      <c r="K29" s="50"/>
      <c r="L29" s="50"/>
      <c r="M29" s="50"/>
      <c r="N29" s="50"/>
      <c r="O29" s="50"/>
      <c r="P29" s="50"/>
      <c r="Q29" s="50"/>
      <c r="R29" s="50"/>
      <c r="S29" s="50"/>
    </row>
    <row r="30" spans="1:19" ht="15" customHeight="1">
      <c r="A30"/>
      <c r="B30"/>
      <c r="C30"/>
      <c r="D30"/>
      <c r="E30"/>
      <c r="F30"/>
      <c r="G30"/>
      <c r="H30"/>
      <c r="I30"/>
      <c r="J30"/>
      <c r="K30" s="50"/>
      <c r="L30" s="50"/>
      <c r="M30" s="50"/>
      <c r="N30" s="50"/>
      <c r="O30" s="50"/>
      <c r="P30" s="50"/>
      <c r="Q30" s="50"/>
      <c r="R30" s="50"/>
      <c r="S30" s="50"/>
    </row>
    <row r="31" spans="1:19" ht="15" customHeight="1">
      <c r="A31"/>
      <c r="B31"/>
      <c r="C31"/>
      <c r="D31"/>
      <c r="E31"/>
      <c r="F31"/>
      <c r="G31"/>
      <c r="H31"/>
      <c r="I31"/>
      <c r="J31"/>
      <c r="K31" s="50"/>
      <c r="L31" s="50"/>
      <c r="M31" s="50"/>
      <c r="N31" s="50"/>
      <c r="O31" s="50"/>
      <c r="P31" s="50"/>
      <c r="Q31" s="50"/>
      <c r="R31" s="50"/>
      <c r="S31" s="50"/>
    </row>
    <row r="32" spans="1:19" ht="15" customHeight="1">
      <c r="A32"/>
      <c r="B32"/>
      <c r="C32"/>
      <c r="D32"/>
      <c r="E32"/>
      <c r="F32"/>
      <c r="G32"/>
      <c r="H32"/>
      <c r="I32"/>
      <c r="J32"/>
      <c r="K32" s="50"/>
      <c r="L32" s="50"/>
      <c r="M32" s="50"/>
      <c r="N32" s="50"/>
      <c r="O32" s="50"/>
      <c r="P32" s="50"/>
      <c r="Q32" s="50"/>
      <c r="R32" s="50"/>
      <c r="S32" s="50"/>
    </row>
    <row r="33" spans="1:19" ht="15" customHeight="1">
      <c r="A33"/>
      <c r="B33"/>
      <c r="C33"/>
      <c r="D33"/>
      <c r="E33"/>
      <c r="F33"/>
      <c r="G33"/>
      <c r="H33"/>
      <c r="I33"/>
      <c r="J33"/>
      <c r="K33" s="50"/>
      <c r="L33" s="50"/>
      <c r="M33" s="50"/>
      <c r="N33" s="50"/>
      <c r="O33" s="50"/>
      <c r="P33" s="50"/>
      <c r="Q33" s="50"/>
      <c r="R33" s="50"/>
      <c r="S33" s="50"/>
    </row>
    <row r="34" spans="1:19" ht="15" customHeight="1">
      <c r="K34" s="50"/>
      <c r="L34" s="50"/>
      <c r="M34" s="50"/>
      <c r="N34" s="50"/>
      <c r="O34" s="50"/>
      <c r="P34" s="50"/>
      <c r="Q34" s="50"/>
      <c r="R34" s="50"/>
      <c r="S34" s="50"/>
    </row>
    <row r="35" spans="1:19" ht="15" customHeight="1">
      <c r="K35" s="50"/>
      <c r="L35" s="50"/>
      <c r="M35" s="50"/>
      <c r="N35" s="50"/>
      <c r="O35" s="50"/>
      <c r="P35" s="50"/>
      <c r="Q35" s="50"/>
      <c r="R35" s="50"/>
      <c r="S35" s="50"/>
    </row>
    <row r="36" spans="1:19" ht="15" customHeight="1"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" customHeight="1">
      <c r="K37" s="50"/>
      <c r="L37" s="50"/>
      <c r="M37" s="50"/>
      <c r="N37" s="50"/>
      <c r="O37" s="50"/>
      <c r="P37" s="50"/>
      <c r="Q37" s="50"/>
      <c r="R37" s="50"/>
      <c r="S37" s="50"/>
    </row>
    <row r="38" spans="1:19" ht="15" customHeight="1">
      <c r="K38" s="50"/>
      <c r="L38" s="50"/>
      <c r="M38" s="50"/>
      <c r="N38" s="50"/>
      <c r="O38" s="50"/>
      <c r="P38" s="50"/>
      <c r="Q38" s="50"/>
      <c r="R38" s="50"/>
      <c r="S38" s="50"/>
    </row>
    <row r="39" spans="1:19" ht="15" customHeight="1">
      <c r="K39" s="50"/>
      <c r="L39" s="50"/>
      <c r="M39" s="50"/>
      <c r="N39" s="50"/>
      <c r="O39" s="50"/>
      <c r="P39" s="50"/>
      <c r="Q39" s="50"/>
      <c r="R39" s="50"/>
      <c r="S39" s="50"/>
    </row>
    <row r="40" spans="1:19" ht="15" customHeight="1">
      <c r="K40" s="50"/>
      <c r="L40" s="50"/>
      <c r="M40" s="50"/>
      <c r="N40" s="50"/>
      <c r="O40" s="50"/>
      <c r="P40" s="50"/>
      <c r="Q40" s="50"/>
      <c r="R40" s="50"/>
      <c r="S40" s="50"/>
    </row>
    <row r="41" spans="1:19" ht="15" customHeight="1">
      <c r="K41" s="50"/>
      <c r="L41" s="50"/>
      <c r="M41" s="50"/>
      <c r="N41" s="50"/>
      <c r="O41" s="50"/>
      <c r="P41" s="50"/>
      <c r="Q41" s="50"/>
      <c r="R41" s="50"/>
      <c r="S41" s="50"/>
    </row>
    <row r="42" spans="1:19" ht="15" customHeight="1">
      <c r="K42" s="50"/>
      <c r="L42" s="50"/>
      <c r="M42" s="50"/>
      <c r="N42" s="50"/>
      <c r="O42" s="50"/>
      <c r="P42" s="50"/>
      <c r="Q42" s="50"/>
      <c r="R42" s="50"/>
      <c r="S42" s="50"/>
    </row>
    <row r="43" spans="1:19" ht="15" customHeight="1">
      <c r="K43" s="50"/>
      <c r="L43" s="50"/>
      <c r="M43" s="50"/>
      <c r="N43" s="50"/>
      <c r="O43" s="50"/>
      <c r="P43" s="50"/>
      <c r="Q43" s="50"/>
      <c r="R43" s="50"/>
      <c r="S43" s="50"/>
    </row>
    <row r="44" spans="1:19" ht="15" customHeight="1">
      <c r="K44" s="50"/>
      <c r="L44" s="50"/>
      <c r="M44" s="50"/>
      <c r="N44" s="50"/>
      <c r="O44" s="50"/>
      <c r="P44" s="50"/>
      <c r="Q44" s="50"/>
      <c r="R44" s="50"/>
      <c r="S44" s="50"/>
    </row>
    <row r="45" spans="1:19" ht="15" customHeight="1">
      <c r="K45" s="50"/>
      <c r="L45" s="50"/>
      <c r="M45" s="50"/>
      <c r="N45" s="50"/>
      <c r="O45" s="50"/>
      <c r="P45" s="50"/>
      <c r="Q45" s="50"/>
      <c r="R45" s="50"/>
      <c r="S45" s="50"/>
    </row>
    <row r="46" spans="1:19" ht="15" customHeight="1">
      <c r="K46" s="50"/>
      <c r="L46" s="50"/>
      <c r="M46" s="50"/>
      <c r="N46" s="50"/>
      <c r="O46" s="50"/>
      <c r="P46" s="50"/>
      <c r="Q46" s="50"/>
      <c r="R46" s="50"/>
      <c r="S46" s="50"/>
    </row>
    <row r="47" spans="1:19" ht="15" customHeight="1">
      <c r="K47" s="50"/>
      <c r="L47" s="50"/>
      <c r="M47" s="50"/>
      <c r="N47" s="50"/>
      <c r="O47" s="50"/>
      <c r="P47" s="50"/>
      <c r="Q47" s="50"/>
      <c r="R47" s="50"/>
      <c r="S47" s="50"/>
    </row>
    <row r="48" spans="1:19" ht="15" customHeight="1">
      <c r="K48" s="50"/>
      <c r="L48" s="50"/>
      <c r="M48" s="50"/>
      <c r="N48" s="50"/>
      <c r="O48" s="50"/>
      <c r="P48" s="50"/>
      <c r="Q48" s="50"/>
      <c r="R48" s="50"/>
      <c r="S48" s="50"/>
    </row>
    <row r="49" spans="11:19" ht="15" customHeight="1">
      <c r="K49" s="50"/>
      <c r="L49" s="50"/>
      <c r="M49" s="50"/>
      <c r="N49" s="50"/>
      <c r="O49" s="50"/>
      <c r="P49" s="50"/>
      <c r="Q49" s="50"/>
      <c r="R49" s="50"/>
      <c r="S49" s="50"/>
    </row>
    <row r="50" spans="11:19" ht="15" customHeight="1">
      <c r="K50" s="50"/>
      <c r="L50" s="50"/>
      <c r="M50" s="50"/>
      <c r="N50" s="50"/>
      <c r="O50" s="50"/>
      <c r="P50" s="50"/>
      <c r="Q50" s="50"/>
      <c r="R50" s="50"/>
      <c r="S50" s="50"/>
    </row>
    <row r="51" spans="11:19" ht="15" customHeight="1">
      <c r="K51" s="50"/>
      <c r="L51" s="50"/>
      <c r="M51" s="50"/>
      <c r="N51" s="50"/>
      <c r="O51" s="50"/>
      <c r="P51" s="50"/>
      <c r="Q51" s="50"/>
      <c r="R51" s="50"/>
      <c r="S51" s="50"/>
    </row>
    <row r="52" spans="11:19" ht="15" customHeight="1">
      <c r="K52" s="50"/>
      <c r="L52" s="50"/>
      <c r="M52" s="50"/>
      <c r="N52" s="50"/>
      <c r="O52" s="50"/>
      <c r="P52" s="50"/>
      <c r="Q52" s="50"/>
      <c r="R52" s="50"/>
      <c r="S52" s="50"/>
    </row>
    <row r="53" spans="11:19" ht="15" customHeight="1">
      <c r="K53" s="50"/>
      <c r="L53" s="50"/>
      <c r="M53" s="50"/>
      <c r="N53" s="50"/>
      <c r="O53" s="50"/>
      <c r="P53" s="50"/>
      <c r="Q53" s="50"/>
      <c r="R53" s="50"/>
      <c r="S53" s="50"/>
    </row>
    <row r="54" spans="11:19" ht="15" customHeight="1">
      <c r="K54" s="50"/>
      <c r="L54" s="50"/>
      <c r="M54" s="50"/>
      <c r="N54" s="50"/>
      <c r="O54" s="50"/>
      <c r="P54" s="50"/>
      <c r="Q54" s="50"/>
      <c r="R54" s="50"/>
      <c r="S54" s="50"/>
    </row>
    <row r="55" spans="11:19" ht="15" customHeight="1">
      <c r="K55" s="50"/>
      <c r="L55" s="50"/>
      <c r="M55" s="50"/>
      <c r="N55" s="50"/>
      <c r="O55" s="50"/>
      <c r="P55" s="50"/>
      <c r="Q55" s="50"/>
      <c r="R55" s="50"/>
      <c r="S55" s="50"/>
    </row>
    <row r="56" spans="11:19" ht="15" customHeight="1">
      <c r="K56" s="50"/>
      <c r="L56" s="50"/>
      <c r="M56" s="50"/>
      <c r="N56" s="50"/>
      <c r="O56" s="50"/>
      <c r="P56" s="50"/>
      <c r="Q56" s="50"/>
      <c r="R56" s="50"/>
      <c r="S56" s="50"/>
    </row>
    <row r="57" spans="11:19" ht="15" customHeight="1">
      <c r="K57" s="50"/>
      <c r="L57" s="50"/>
      <c r="M57" s="50"/>
      <c r="N57" s="50"/>
      <c r="O57" s="50"/>
      <c r="P57" s="50"/>
      <c r="Q57" s="50"/>
      <c r="R57" s="50"/>
      <c r="S57" s="50"/>
    </row>
    <row r="58" spans="11:19" ht="15" customHeight="1">
      <c r="K58" s="50"/>
      <c r="L58" s="50"/>
      <c r="M58" s="50"/>
      <c r="N58" s="50"/>
      <c r="O58" s="50"/>
      <c r="P58" s="50"/>
      <c r="Q58" s="50"/>
      <c r="R58" s="50"/>
      <c r="S58" s="50"/>
    </row>
    <row r="59" spans="11:19" ht="15" customHeight="1">
      <c r="K59" s="50"/>
      <c r="L59" s="50"/>
      <c r="M59" s="50"/>
      <c r="N59" s="50"/>
      <c r="O59" s="50"/>
      <c r="P59" s="50"/>
      <c r="Q59" s="50"/>
      <c r="R59" s="50"/>
      <c r="S59" s="50"/>
    </row>
    <row r="60" spans="11:19" ht="15" customHeight="1">
      <c r="K60" s="50"/>
      <c r="L60" s="50"/>
      <c r="M60" s="50"/>
      <c r="N60" s="50"/>
      <c r="O60" s="50"/>
      <c r="P60" s="50"/>
      <c r="Q60" s="50"/>
      <c r="R60" s="50"/>
      <c r="S60" s="50"/>
    </row>
    <row r="61" spans="11:19" ht="15" customHeight="1">
      <c r="K61" s="50"/>
      <c r="L61" s="50"/>
      <c r="M61" s="50"/>
      <c r="N61" s="50"/>
      <c r="O61" s="50"/>
      <c r="P61" s="50"/>
      <c r="Q61" s="50"/>
      <c r="R61" s="50"/>
      <c r="S61" s="50"/>
    </row>
    <row r="62" spans="11:19" ht="15" customHeight="1">
      <c r="K62" s="50"/>
      <c r="L62" s="50"/>
      <c r="M62" s="50"/>
      <c r="N62" s="50"/>
      <c r="O62" s="50"/>
      <c r="P62" s="50"/>
      <c r="Q62" s="50"/>
      <c r="R62" s="50"/>
      <c r="S62" s="50"/>
    </row>
    <row r="63" spans="11:19" ht="15" customHeight="1">
      <c r="K63" s="50"/>
      <c r="L63" s="50"/>
      <c r="M63" s="50"/>
      <c r="N63" s="50"/>
      <c r="O63" s="50"/>
      <c r="P63" s="50"/>
      <c r="Q63" s="50"/>
      <c r="R63" s="50"/>
      <c r="S63" s="50"/>
    </row>
    <row r="64" spans="11:19" ht="15" customHeight="1">
      <c r="K64" s="50"/>
      <c r="L64" s="50"/>
      <c r="M64" s="50"/>
      <c r="N64" s="50"/>
      <c r="O64" s="50"/>
      <c r="P64" s="50"/>
      <c r="Q64" s="50"/>
      <c r="R64" s="50"/>
      <c r="S64" s="50"/>
    </row>
    <row r="65" spans="11:19" ht="15" customHeight="1">
      <c r="K65" s="50"/>
      <c r="L65" s="50"/>
      <c r="M65" s="50"/>
      <c r="N65" s="50"/>
      <c r="O65" s="50"/>
      <c r="P65" s="50"/>
      <c r="Q65" s="50"/>
      <c r="R65" s="50"/>
      <c r="S65" s="50"/>
    </row>
    <row r="66" spans="11:19" ht="15" customHeight="1">
      <c r="K66" s="50"/>
      <c r="L66" s="50"/>
      <c r="M66" s="50"/>
      <c r="N66" s="50"/>
      <c r="O66" s="50"/>
      <c r="P66" s="50"/>
      <c r="Q66" s="50"/>
      <c r="R66" s="50"/>
      <c r="S66" s="50"/>
    </row>
    <row r="67" spans="11:19" ht="15" customHeight="1">
      <c r="K67" s="50"/>
      <c r="L67" s="50"/>
      <c r="M67" s="50"/>
      <c r="N67" s="50"/>
      <c r="O67" s="50"/>
      <c r="P67" s="50"/>
      <c r="Q67" s="50"/>
      <c r="R67" s="50"/>
      <c r="S67" s="50"/>
    </row>
    <row r="68" spans="11:19" ht="15" customHeight="1">
      <c r="K68" s="50"/>
      <c r="L68" s="50"/>
      <c r="M68" s="50"/>
      <c r="N68" s="50"/>
      <c r="O68" s="50"/>
      <c r="P68" s="50"/>
      <c r="Q68" s="50"/>
      <c r="R68" s="50"/>
      <c r="S68" s="50"/>
    </row>
    <row r="69" spans="11:19" ht="15" customHeight="1">
      <c r="K69" s="50"/>
      <c r="L69" s="50"/>
      <c r="M69" s="50"/>
      <c r="N69" s="50"/>
      <c r="O69" s="50"/>
      <c r="P69" s="50"/>
      <c r="Q69" s="50"/>
      <c r="R69" s="50"/>
      <c r="S69" s="50"/>
    </row>
    <row r="70" spans="11:19" ht="15" customHeight="1">
      <c r="K70" s="50"/>
      <c r="L70" s="50"/>
      <c r="M70" s="50"/>
      <c r="N70" s="50"/>
      <c r="O70" s="50"/>
      <c r="P70" s="50"/>
      <c r="Q70" s="50"/>
      <c r="R70" s="50"/>
      <c r="S70" s="50"/>
    </row>
    <row r="71" spans="11:19" ht="15" customHeight="1">
      <c r="K71" s="50"/>
      <c r="L71" s="50"/>
      <c r="M71" s="50"/>
      <c r="N71" s="50"/>
      <c r="O71" s="50"/>
      <c r="P71" s="50"/>
      <c r="Q71" s="50"/>
      <c r="R71" s="50"/>
      <c r="S71" s="50"/>
    </row>
    <row r="72" spans="11:19" ht="15" customHeight="1">
      <c r="K72" s="50"/>
      <c r="L72" s="50"/>
      <c r="M72" s="50"/>
      <c r="N72" s="50"/>
      <c r="O72" s="50"/>
      <c r="P72" s="50"/>
      <c r="Q72" s="50"/>
      <c r="R72" s="50"/>
      <c r="S72" s="50"/>
    </row>
    <row r="73" spans="11:19" ht="15" customHeight="1">
      <c r="K73" s="50"/>
      <c r="L73" s="50"/>
      <c r="M73" s="50"/>
      <c r="N73" s="50"/>
      <c r="O73" s="50"/>
      <c r="P73" s="50"/>
      <c r="Q73" s="50"/>
      <c r="R73" s="50"/>
      <c r="S73" s="50"/>
    </row>
    <row r="74" spans="11:19" ht="15" customHeight="1">
      <c r="K74" s="50"/>
      <c r="L74" s="50"/>
      <c r="M74" s="50"/>
      <c r="N74" s="50"/>
      <c r="O74" s="50"/>
      <c r="P74" s="50"/>
      <c r="Q74" s="50"/>
      <c r="R74" s="50"/>
      <c r="S74" s="50"/>
    </row>
    <row r="75" spans="11:19" ht="15" customHeight="1">
      <c r="K75" s="50"/>
      <c r="L75" s="50"/>
      <c r="M75" s="50"/>
      <c r="N75" s="50"/>
      <c r="O75" s="50"/>
      <c r="P75" s="50"/>
      <c r="Q75" s="50"/>
      <c r="R75" s="50"/>
      <c r="S75" s="50"/>
    </row>
    <row r="76" spans="11:19" ht="15" customHeight="1">
      <c r="K76" s="50"/>
      <c r="L76" s="50"/>
      <c r="M76" s="50"/>
      <c r="N76" s="50"/>
      <c r="O76" s="50"/>
      <c r="P76" s="50"/>
      <c r="Q76" s="50"/>
      <c r="R76" s="50"/>
      <c r="S76" s="50"/>
    </row>
    <row r="77" spans="11:19" ht="15" customHeight="1">
      <c r="K77" s="50"/>
      <c r="L77" s="50"/>
      <c r="M77" s="50"/>
      <c r="N77" s="50"/>
      <c r="O77" s="50"/>
      <c r="P77" s="50"/>
      <c r="Q77" s="50"/>
      <c r="R77" s="50"/>
      <c r="S77" s="50"/>
    </row>
    <row r="78" spans="11:19" ht="15" customHeight="1">
      <c r="K78" s="50"/>
      <c r="L78" s="50"/>
      <c r="M78" s="50"/>
      <c r="N78" s="50"/>
      <c r="O78" s="50"/>
      <c r="P78" s="50"/>
      <c r="Q78" s="50"/>
      <c r="R78" s="50"/>
      <c r="S78" s="50"/>
    </row>
    <row r="79" spans="11:19" ht="15" customHeight="1">
      <c r="K79" s="50"/>
      <c r="L79" s="50"/>
      <c r="M79" s="50"/>
      <c r="N79" s="50"/>
      <c r="O79" s="50"/>
      <c r="P79" s="50"/>
      <c r="Q79" s="50"/>
      <c r="R79" s="50"/>
      <c r="S79" s="50"/>
    </row>
    <row r="80" spans="11:19" ht="15" customHeight="1">
      <c r="K80" s="50"/>
      <c r="L80" s="50"/>
      <c r="M80" s="50"/>
      <c r="N80" s="50"/>
      <c r="O80" s="50"/>
      <c r="P80" s="50"/>
      <c r="Q80" s="50"/>
      <c r="R80" s="50"/>
      <c r="S80" s="50"/>
    </row>
    <row r="81" spans="11:19" ht="15" customHeight="1">
      <c r="K81" s="50"/>
      <c r="L81" s="50"/>
      <c r="M81" s="50"/>
      <c r="N81" s="50"/>
      <c r="O81" s="50"/>
      <c r="P81" s="50"/>
      <c r="Q81" s="50"/>
      <c r="R81" s="50"/>
      <c r="S81" s="50"/>
    </row>
    <row r="82" spans="11:19" ht="15" customHeight="1">
      <c r="K82" s="50"/>
      <c r="L82" s="50"/>
      <c r="M82" s="50"/>
      <c r="N82" s="50"/>
      <c r="O82" s="50"/>
      <c r="P82" s="50"/>
      <c r="Q82" s="50"/>
      <c r="R82" s="50"/>
      <c r="S82" s="50"/>
    </row>
    <row r="83" spans="11:19" ht="15" customHeight="1">
      <c r="K83" s="50"/>
      <c r="L83" s="50"/>
      <c r="M83" s="50"/>
      <c r="N83" s="50"/>
      <c r="O83" s="50"/>
      <c r="P83" s="50"/>
      <c r="Q83" s="50"/>
      <c r="R83" s="50"/>
      <c r="S83" s="50"/>
    </row>
    <row r="84" spans="11:19" ht="15" customHeight="1">
      <c r="K84" s="50"/>
      <c r="L84" s="50"/>
      <c r="M84" s="50"/>
      <c r="N84" s="50"/>
      <c r="O84" s="50"/>
      <c r="P84" s="50"/>
      <c r="Q84" s="50"/>
      <c r="R84" s="50"/>
      <c r="S84" s="50"/>
    </row>
    <row r="85" spans="11:19" ht="15" customHeight="1">
      <c r="K85" s="50"/>
      <c r="L85" s="50"/>
      <c r="M85" s="50"/>
      <c r="N85" s="50"/>
      <c r="O85" s="50"/>
      <c r="P85" s="50"/>
      <c r="Q85" s="50"/>
      <c r="R85" s="50"/>
      <c r="S85" s="50"/>
    </row>
    <row r="86" spans="11:19" ht="15" customHeight="1">
      <c r="K86" s="50"/>
      <c r="L86" s="50"/>
      <c r="M86" s="50"/>
      <c r="N86" s="50"/>
      <c r="O86" s="50"/>
      <c r="P86" s="50"/>
      <c r="Q86" s="50"/>
      <c r="R86" s="50"/>
      <c r="S86" s="50"/>
    </row>
    <row r="87" spans="11:19" ht="15" customHeight="1">
      <c r="K87" s="50"/>
      <c r="L87" s="50"/>
      <c r="M87" s="50"/>
      <c r="N87" s="50"/>
      <c r="O87" s="50"/>
      <c r="P87" s="50"/>
      <c r="Q87" s="50"/>
      <c r="R87" s="50"/>
      <c r="S87" s="50"/>
    </row>
    <row r="88" spans="11:19" ht="15" customHeight="1">
      <c r="K88" s="50"/>
      <c r="L88" s="50"/>
      <c r="M88" s="50"/>
      <c r="N88" s="50"/>
      <c r="O88" s="50"/>
      <c r="P88" s="50"/>
      <c r="Q88" s="50"/>
      <c r="R88" s="50"/>
      <c r="S88" s="50"/>
    </row>
    <row r="89" spans="11:19" ht="15" customHeight="1">
      <c r="K89" s="50"/>
      <c r="L89" s="50"/>
      <c r="M89" s="50"/>
      <c r="N89" s="50"/>
      <c r="O89" s="50"/>
      <c r="P89" s="50"/>
      <c r="Q89" s="50"/>
      <c r="R89" s="50"/>
      <c r="S89" s="50"/>
    </row>
    <row r="90" spans="11:19" ht="15" customHeight="1">
      <c r="K90" s="50"/>
      <c r="L90" s="50"/>
      <c r="M90" s="50"/>
      <c r="N90" s="50"/>
      <c r="O90" s="50"/>
      <c r="P90" s="50"/>
      <c r="Q90" s="50"/>
      <c r="R90" s="50"/>
      <c r="S90" s="50"/>
    </row>
    <row r="91" spans="11:19" ht="15" customHeight="1">
      <c r="K91" s="50"/>
      <c r="L91" s="50"/>
      <c r="M91" s="50"/>
      <c r="N91" s="50"/>
      <c r="O91" s="50"/>
      <c r="P91" s="50"/>
      <c r="Q91" s="50"/>
      <c r="R91" s="50"/>
      <c r="S91" s="50"/>
    </row>
    <row r="92" spans="11:19" ht="15" customHeight="1">
      <c r="K92" s="50"/>
      <c r="L92" s="50"/>
      <c r="M92" s="50"/>
      <c r="N92" s="50"/>
      <c r="O92" s="50"/>
      <c r="P92" s="50"/>
      <c r="Q92" s="50"/>
      <c r="R92" s="50"/>
      <c r="S92" s="50"/>
    </row>
    <row r="93" spans="11:19" ht="15" customHeight="1">
      <c r="K93" s="50"/>
      <c r="L93" s="50"/>
      <c r="M93" s="50"/>
      <c r="N93" s="50"/>
      <c r="O93" s="50"/>
      <c r="P93" s="50"/>
      <c r="Q93" s="50"/>
      <c r="R93" s="50"/>
      <c r="S93" s="50"/>
    </row>
  </sheetData>
  <mergeCells count="1">
    <mergeCell ref="H1:I1"/>
  </mergeCells>
  <conditionalFormatting sqref="B1">
    <cfRule type="cellIs" dxfId="79" priority="1" operator="equal">
      <formula>"Incomplete"</formula>
    </cfRule>
    <cfRule type="cellIs" dxfId="78" priority="2" operator="equal">
      <formula>"Flag for Review"</formula>
    </cfRule>
    <cfRule type="cellIs" dxfId="77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M70"/>
  <sheetViews>
    <sheetView workbookViewId="0"/>
  </sheetViews>
  <sheetFormatPr defaultColWidth="9.140625" defaultRowHeight="1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3">
      <c r="A1" s="7">
        <v>7</v>
      </c>
      <c r="B1" s="32" t="s">
        <v>12</v>
      </c>
      <c r="C1" s="23"/>
      <c r="D1" s="23"/>
      <c r="E1" s="23"/>
      <c r="F1" s="23"/>
      <c r="G1" s="23"/>
      <c r="H1" s="469" t="s">
        <v>30</v>
      </c>
      <c r="I1" s="472"/>
      <c r="K1" t="s">
        <v>316</v>
      </c>
      <c r="L1"/>
      <c r="M1"/>
    </row>
    <row r="2" spans="1:13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</row>
    <row r="3" spans="1:13" ht="15" customHeight="1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</row>
    <row r="4" spans="1:13" ht="15" customHeight="1">
      <c r="A4" s="9">
        <f>INDEX('Point Grid'!B:B,MATCH($A$1,'Point Grid'!A:A,0))</f>
        <v>0.5</v>
      </c>
      <c r="B4" s="22"/>
      <c r="C4" s="22"/>
      <c r="D4" s="22"/>
      <c r="E4" s="22"/>
      <c r="F4" s="22"/>
      <c r="G4" s="22"/>
      <c r="H4" s="22"/>
      <c r="I4" s="26"/>
      <c r="K4" s="415" t="s">
        <v>2</v>
      </c>
      <c r="L4" t="s">
        <v>932</v>
      </c>
      <c r="M4"/>
    </row>
    <row r="5" spans="1:13" ht="15" customHeight="1">
      <c r="A5" s="25"/>
      <c r="B5" s="22"/>
      <c r="C5" s="22"/>
      <c r="D5" s="22"/>
      <c r="E5" s="22"/>
      <c r="F5" s="22"/>
      <c r="G5" s="22"/>
      <c r="H5" s="22"/>
      <c r="I5" s="26"/>
      <c r="K5"/>
      <c r="L5" t="s">
        <v>933</v>
      </c>
      <c r="M5"/>
    </row>
    <row r="6" spans="1:13" ht="15" customHeight="1">
      <c r="A6" s="29" t="s">
        <v>2</v>
      </c>
      <c r="B6" s="22" t="s">
        <v>930</v>
      </c>
      <c r="C6" s="22"/>
      <c r="D6" s="22"/>
      <c r="E6" s="22"/>
      <c r="F6" s="22"/>
      <c r="G6" s="22"/>
      <c r="H6" s="22"/>
      <c r="I6" s="26"/>
      <c r="K6"/>
      <c r="L6"/>
      <c r="M6"/>
    </row>
    <row r="7" spans="1:13" ht="15" customHeight="1" thickBot="1">
      <c r="A7" s="9">
        <f>INDEX('Point Grid'!$C$8:$I$35,MATCH($A$1,'Point Grid'!$A$8:$A$35,0),MATCH(A6,'Point Grid'!$C$7:$I$7,0))</f>
        <v>0.5</v>
      </c>
      <c r="B7" s="22" t="s">
        <v>929</v>
      </c>
      <c r="C7" s="22"/>
      <c r="D7" s="22"/>
      <c r="E7" s="22"/>
      <c r="F7" s="22"/>
      <c r="G7" s="22"/>
      <c r="H7" s="22"/>
      <c r="I7" s="26"/>
      <c r="K7"/>
      <c r="L7" t="s">
        <v>865</v>
      </c>
      <c r="M7"/>
    </row>
    <row r="8" spans="1:13" ht="15" customHeight="1" thickBot="1">
      <c r="A8" s="5"/>
      <c r="B8" s="22"/>
      <c r="C8" s="22"/>
      <c r="D8" s="22"/>
      <c r="E8" s="22"/>
      <c r="F8" s="22"/>
      <c r="G8" s="22"/>
      <c r="H8" s="22"/>
      <c r="I8" s="26"/>
      <c r="K8"/>
      <c r="L8" t="s">
        <v>931</v>
      </c>
      <c r="M8"/>
    </row>
    <row r="9" spans="1:13" ht="15" customHeight="1">
      <c r="A9" s="25"/>
      <c r="B9" s="22"/>
      <c r="C9" s="22"/>
      <c r="D9" s="22"/>
      <c r="E9" s="22"/>
      <c r="F9" s="22"/>
      <c r="G9" s="22"/>
      <c r="H9" s="22"/>
      <c r="I9" s="26"/>
      <c r="K9"/>
      <c r="L9"/>
      <c r="M9"/>
    </row>
    <row r="10" spans="1:13" ht="15" customHeight="1" thickBot="1">
      <c r="A10" s="27"/>
      <c r="B10" s="27"/>
      <c r="C10" s="27"/>
      <c r="D10" s="27"/>
      <c r="E10" s="27"/>
      <c r="F10" s="27"/>
      <c r="G10" s="27"/>
      <c r="H10" s="27"/>
      <c r="I10" s="28"/>
      <c r="K10"/>
      <c r="L10"/>
      <c r="M10"/>
    </row>
    <row r="11" spans="1:13" ht="15" customHeight="1">
      <c r="K11"/>
      <c r="L11"/>
      <c r="M11"/>
    </row>
    <row r="12" spans="1:13" ht="15" customHeight="1">
      <c r="K12"/>
      <c r="L12"/>
      <c r="M12"/>
    </row>
    <row r="13" spans="1:13" ht="15" customHeight="1">
      <c r="K13"/>
      <c r="L13"/>
      <c r="M13"/>
    </row>
    <row r="14" spans="1:13" ht="15" customHeight="1">
      <c r="K14"/>
      <c r="L14"/>
      <c r="M14"/>
    </row>
    <row r="15" spans="1:13" ht="15" customHeight="1">
      <c r="K15"/>
      <c r="L15"/>
      <c r="M15"/>
    </row>
    <row r="16" spans="1:13" ht="15" customHeight="1">
      <c r="K16"/>
      <c r="L16"/>
      <c r="M16"/>
    </row>
    <row r="17" spans="11:13" ht="15" customHeight="1">
      <c r="K17"/>
      <c r="L17"/>
      <c r="M17"/>
    </row>
    <row r="18" spans="11:13" ht="15" customHeight="1">
      <c r="K18"/>
      <c r="L18"/>
      <c r="M18"/>
    </row>
    <row r="19" spans="11:13" ht="15" customHeight="1">
      <c r="K19"/>
      <c r="L19"/>
      <c r="M19"/>
    </row>
    <row r="20" spans="11:13" ht="15" customHeight="1">
      <c r="K20"/>
      <c r="L20"/>
      <c r="M20"/>
    </row>
    <row r="21" spans="11:13" ht="15" customHeight="1">
      <c r="K21"/>
      <c r="L21"/>
      <c r="M21"/>
    </row>
    <row r="22" spans="11:13" ht="15" customHeight="1">
      <c r="K22"/>
      <c r="L22"/>
      <c r="M22"/>
    </row>
    <row r="23" spans="11:13" ht="15" customHeight="1">
      <c r="K23"/>
      <c r="L23"/>
      <c r="M23"/>
    </row>
    <row r="24" spans="11:13" ht="15" customHeight="1">
      <c r="K24"/>
      <c r="L24"/>
      <c r="M24"/>
    </row>
    <row r="25" spans="11:13" ht="15" customHeight="1">
      <c r="K25"/>
      <c r="L25"/>
      <c r="M25"/>
    </row>
    <row r="26" spans="11:13" ht="15" customHeight="1">
      <c r="K26"/>
      <c r="L26"/>
      <c r="M26"/>
    </row>
    <row r="27" spans="11:13" ht="15" customHeight="1">
      <c r="K27"/>
      <c r="L27"/>
      <c r="M27"/>
    </row>
    <row r="28" spans="11:13" ht="15" customHeight="1">
      <c r="K28"/>
      <c r="L28"/>
      <c r="M28"/>
    </row>
    <row r="29" spans="11:13" ht="15" customHeight="1">
      <c r="K29"/>
      <c r="L29"/>
      <c r="M29"/>
    </row>
    <row r="30" spans="11:13" ht="15" customHeight="1">
      <c r="K30"/>
      <c r="L30"/>
      <c r="M30"/>
    </row>
    <row r="31" spans="11:13" ht="15" customHeight="1">
      <c r="K31"/>
      <c r="L31"/>
      <c r="M31"/>
    </row>
    <row r="32" spans="11:13" ht="15" customHeight="1">
      <c r="K32"/>
      <c r="L32"/>
      <c r="M32"/>
    </row>
    <row r="33" spans="11:13" ht="15" customHeight="1">
      <c r="K33"/>
      <c r="L33"/>
      <c r="M33"/>
    </row>
    <row r="34" spans="11:13" ht="15" customHeight="1">
      <c r="K34"/>
      <c r="L34"/>
      <c r="M34"/>
    </row>
    <row r="35" spans="11:13" ht="15" customHeight="1">
      <c r="K35"/>
      <c r="L35"/>
      <c r="M35"/>
    </row>
    <row r="36" spans="11:13" ht="15" customHeight="1">
      <c r="K36"/>
      <c r="L36"/>
      <c r="M36"/>
    </row>
    <row r="37" spans="11:13" ht="15" customHeight="1">
      <c r="K37"/>
      <c r="L37"/>
      <c r="M37"/>
    </row>
    <row r="38" spans="11:13" ht="15" customHeight="1">
      <c r="K38"/>
      <c r="L38"/>
      <c r="M38"/>
    </row>
    <row r="39" spans="11:13" ht="15" customHeight="1">
      <c r="K39"/>
      <c r="L39"/>
      <c r="M39"/>
    </row>
    <row r="40" spans="11:13" ht="15" customHeight="1">
      <c r="K40"/>
      <c r="L40"/>
      <c r="M40"/>
    </row>
    <row r="41" spans="11:13" ht="15" customHeight="1">
      <c r="K41"/>
      <c r="L41"/>
      <c r="M41"/>
    </row>
    <row r="42" spans="11:13" ht="15" customHeight="1">
      <c r="K42"/>
      <c r="L42"/>
      <c r="M42"/>
    </row>
    <row r="43" spans="11:13" ht="15" customHeight="1">
      <c r="K43"/>
      <c r="L43"/>
      <c r="M43"/>
    </row>
    <row r="44" spans="11:13" ht="15" customHeight="1">
      <c r="K44"/>
      <c r="L44"/>
      <c r="M44"/>
    </row>
    <row r="45" spans="11:13" ht="15" customHeight="1">
      <c r="K45"/>
      <c r="L45"/>
      <c r="M45"/>
    </row>
    <row r="46" spans="11:13" ht="15" customHeight="1">
      <c r="K46"/>
      <c r="L46"/>
      <c r="M46"/>
    </row>
    <row r="47" spans="11:13" ht="15" customHeight="1">
      <c r="K47"/>
      <c r="L47"/>
      <c r="M47"/>
    </row>
    <row r="48" spans="11:13" ht="15" customHeight="1">
      <c r="K48"/>
      <c r="L48"/>
      <c r="M48"/>
    </row>
    <row r="49" spans="11:13" ht="15" customHeight="1">
      <c r="K49"/>
      <c r="L49"/>
      <c r="M49"/>
    </row>
    <row r="50" spans="11:13" ht="15" customHeight="1">
      <c r="K50"/>
      <c r="L50"/>
      <c r="M50"/>
    </row>
    <row r="51" spans="11:13" ht="15" customHeight="1">
      <c r="K51"/>
      <c r="L51"/>
      <c r="M51"/>
    </row>
    <row r="52" spans="11:13" ht="15" customHeight="1">
      <c r="K52"/>
      <c r="L52"/>
      <c r="M52"/>
    </row>
    <row r="53" spans="11:13" ht="15" customHeight="1">
      <c r="K53"/>
      <c r="L53"/>
      <c r="M53"/>
    </row>
    <row r="54" spans="11:13" ht="15" customHeight="1">
      <c r="K54"/>
      <c r="L54"/>
      <c r="M54"/>
    </row>
    <row r="55" spans="11:13" ht="15" customHeight="1">
      <c r="K55"/>
      <c r="L55"/>
      <c r="M55"/>
    </row>
    <row r="56" spans="11:13" ht="15" customHeight="1">
      <c r="K56"/>
      <c r="L56"/>
      <c r="M56"/>
    </row>
    <row r="57" spans="11:13" ht="15" customHeight="1">
      <c r="K57"/>
      <c r="L57"/>
      <c r="M57"/>
    </row>
    <row r="58" spans="11:13" ht="15" customHeight="1">
      <c r="K58"/>
      <c r="L58"/>
      <c r="M58"/>
    </row>
    <row r="59" spans="11:13" ht="15" customHeight="1">
      <c r="K59"/>
      <c r="L59"/>
      <c r="M59"/>
    </row>
    <row r="60" spans="11:13" ht="15" customHeight="1">
      <c r="K60"/>
      <c r="L60"/>
      <c r="M60"/>
    </row>
    <row r="61" spans="11:13" ht="15" customHeight="1">
      <c r="K61"/>
      <c r="L61"/>
      <c r="M61"/>
    </row>
    <row r="62" spans="11:13" ht="15" customHeight="1">
      <c r="K62"/>
      <c r="L62"/>
      <c r="M62"/>
    </row>
    <row r="63" spans="11:13" ht="15" customHeight="1">
      <c r="K63"/>
      <c r="L63"/>
      <c r="M63"/>
    </row>
    <row r="64" spans="11:13" ht="15" customHeight="1">
      <c r="K64"/>
      <c r="L64"/>
      <c r="M64"/>
    </row>
    <row r="65" spans="11:13" ht="15" customHeight="1">
      <c r="K65"/>
      <c r="L65"/>
      <c r="M65"/>
    </row>
    <row r="66" spans="11:13" ht="15" customHeight="1">
      <c r="K66"/>
      <c r="L66"/>
      <c r="M66"/>
    </row>
    <row r="67" spans="11:13" ht="15" customHeight="1">
      <c r="K67"/>
      <c r="L67"/>
      <c r="M67"/>
    </row>
    <row r="68" spans="11:13" ht="15" customHeight="1">
      <c r="K68"/>
      <c r="L68"/>
      <c r="M68"/>
    </row>
    <row r="69" spans="11:13" ht="15" customHeight="1">
      <c r="K69"/>
      <c r="L69"/>
      <c r="M69"/>
    </row>
    <row r="70" spans="11:13" ht="15" customHeight="1">
      <c r="K70"/>
      <c r="L70"/>
      <c r="M70"/>
    </row>
  </sheetData>
  <mergeCells count="1">
    <mergeCell ref="H1:I1"/>
  </mergeCells>
  <conditionalFormatting sqref="B1">
    <cfRule type="cellIs" dxfId="76" priority="1" operator="equal">
      <formula>"Incomplete"</formula>
    </cfRule>
    <cfRule type="cellIs" dxfId="75" priority="2" operator="equal">
      <formula>"Flag for Review"</formula>
    </cfRule>
    <cfRule type="cellIs" dxfId="74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Instructions</vt:lpstr>
      <vt:lpstr>Point Grid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Owner</cp:lastModifiedBy>
  <dcterms:created xsi:type="dcterms:W3CDTF">2020-12-22T11:57:29Z</dcterms:created>
  <dcterms:modified xsi:type="dcterms:W3CDTF">2022-04-28T20:52:22Z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8c63503-0fb3-4712-a32e-7ecb4b7d79e8_Enabled">
    <vt:lpwstr>true</vt:lpwstr>
  </property>
  <property fmtid="{D5CDD505-2E9C-101B-9397-08002B2CF9AE}" pid="3" name="MSIP_Label_88c63503-0fb3-4712-a32e-7ecb4b7d79e8_SetDate">
    <vt:lpwstr>2022-03-01T02:48:10Z</vt:lpwstr>
  </property>
  <property fmtid="{D5CDD505-2E9C-101B-9397-08002B2CF9AE}" pid="4" name="MSIP_Label_88c63503-0fb3-4712-a32e-7ecb4b7d79e8_Method">
    <vt:lpwstr>Standard</vt:lpwstr>
  </property>
  <property fmtid="{D5CDD505-2E9C-101B-9397-08002B2CF9AE}" pid="5" name="MSIP_Label_88c63503-0fb3-4712-a32e-7ecb4b7d79e8_Name">
    <vt:lpwstr>88c63503-0fb3-4712-a32e-7ecb4b7d79e8</vt:lpwstr>
  </property>
  <property fmtid="{D5CDD505-2E9C-101B-9397-08002B2CF9AE}" pid="6" name="MSIP_Label_88c63503-0fb3-4712-a32e-7ecb4b7d79e8_SiteId">
    <vt:lpwstr>d9da684f-2c03-432a-a7b6-ed714ffc7683</vt:lpwstr>
  </property>
  <property fmtid="{D5CDD505-2E9C-101B-9397-08002B2CF9AE}" pid="7" name="MSIP_Label_88c63503-0fb3-4712-a32e-7ecb4b7d79e8_ActionId">
    <vt:lpwstr>73c31c67-3ddb-48fc-b6fb-674f15c460a0</vt:lpwstr>
  </property>
  <property fmtid="{D5CDD505-2E9C-101B-9397-08002B2CF9AE}" pid="8" name="MSIP_Label_88c63503-0fb3-4712-a32e-7ecb4b7d79e8_ContentBits">
    <vt:lpwstr>2</vt:lpwstr>
  </property>
</Properties>
</file>