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  <sheet name="Problem 7" sheetId="10" r:id="rId8"/>
    <sheet name="Problem 8" sheetId="11" r:id="rId9"/>
    <sheet name="Problem 9" sheetId="15" r:id="rId10"/>
    <sheet name="Problem 10" sheetId="13" r:id="rId1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  <c r="S33" i="15"/>
  <c r="W26" i="15"/>
  <c r="V26" i="15"/>
  <c r="U26" i="15"/>
  <c r="T26" i="15"/>
  <c r="X26" i="15" s="1"/>
  <c r="W25" i="15"/>
  <c r="V25" i="15"/>
  <c r="U25" i="15"/>
  <c r="T25" i="15"/>
  <c r="X25" i="15" s="1"/>
  <c r="W24" i="15"/>
  <c r="V24" i="15"/>
  <c r="U24" i="15"/>
  <c r="T24" i="15"/>
  <c r="X24" i="15" s="1"/>
  <c r="W23" i="15"/>
  <c r="V23" i="15"/>
  <c r="U23" i="15"/>
  <c r="T23" i="15"/>
  <c r="X23" i="15" s="1"/>
  <c r="X27" i="15" s="1"/>
  <c r="S32" i="15" s="1"/>
  <c r="W14" i="15"/>
  <c r="V14" i="15"/>
  <c r="X14" i="15" s="1"/>
  <c r="P14" i="15"/>
  <c r="W13" i="15"/>
  <c r="V13" i="15"/>
  <c r="X13" i="15" s="1"/>
  <c r="P13" i="15"/>
  <c r="W12" i="15"/>
  <c r="V12" i="15"/>
  <c r="X12" i="15" s="1"/>
  <c r="P12" i="15"/>
  <c r="W11" i="15"/>
  <c r="V11" i="15"/>
  <c r="X11" i="15" s="1"/>
  <c r="P11" i="15"/>
  <c r="W10" i="15"/>
  <c r="V10" i="15"/>
  <c r="X10" i="15" s="1"/>
  <c r="P10" i="15"/>
  <c r="W9" i="15"/>
  <c r="V9" i="15"/>
  <c r="X9" i="15" s="1"/>
  <c r="P9" i="15"/>
  <c r="X15" i="15" l="1"/>
  <c r="S31" i="15" s="1"/>
  <c r="S34" i="15" s="1"/>
  <c r="Z46" i="14" l="1"/>
  <c r="T46" i="14"/>
  <c r="R47" i="14" s="1"/>
  <c r="S56" i="14" s="1"/>
  <c r="X39" i="14"/>
  <c r="U39" i="14"/>
  <c r="R40" i="14" s="1"/>
  <c r="S55" i="14" s="1"/>
  <c r="R33" i="14"/>
  <c r="S54" i="14" s="1"/>
  <c r="U32" i="14"/>
  <c r="V19" i="14"/>
  <c r="R19" i="14"/>
  <c r="V18" i="14"/>
  <c r="R18" i="14"/>
  <c r="V17" i="14"/>
  <c r="T17" i="14"/>
  <c r="T18" i="14" s="1"/>
  <c r="T19" i="14" s="1"/>
  <c r="R17" i="14"/>
  <c r="X17" i="14" s="1"/>
  <c r="T16" i="14"/>
  <c r="R16" i="14"/>
  <c r="X16" i="14" s="1"/>
  <c r="X23" i="14" s="1"/>
  <c r="C15" i="1"/>
  <c r="C16" i="1"/>
  <c r="C17" i="1"/>
  <c r="X18" i="14" l="1"/>
  <c r="X24" i="14" s="1"/>
  <c r="X26" i="14" s="1"/>
  <c r="S53" i="14" s="1"/>
  <c r="S57" i="14" s="1"/>
  <c r="X19" i="14"/>
  <c r="U34" i="12"/>
  <c r="R34" i="12"/>
  <c r="T28" i="12"/>
  <c r="V19" i="12"/>
  <c r="S19" i="12"/>
  <c r="U21" i="12" s="1"/>
  <c r="V18" i="12"/>
  <c r="S18" i="12"/>
  <c r="S21" i="12" s="1"/>
  <c r="R23" i="12" s="1"/>
  <c r="V10" i="12"/>
  <c r="R11" i="12" s="1"/>
  <c r="R28" i="12" s="1"/>
  <c r="R29" i="12" s="1"/>
  <c r="W34" i="12" s="1"/>
  <c r="S10" i="12"/>
  <c r="C14" i="1"/>
  <c r="U28" i="13"/>
  <c r="S28" i="13"/>
  <c r="W28" i="13" s="1"/>
  <c r="U27" i="13"/>
  <c r="S27" i="13"/>
  <c r="W27" i="13" s="1"/>
  <c r="W29" i="13" s="1"/>
  <c r="Y22" i="13"/>
  <c r="W22" i="13"/>
  <c r="AA22" i="13" s="1"/>
  <c r="AA21" i="13"/>
  <c r="Y21" i="13"/>
  <c r="W21" i="13"/>
  <c r="Y20" i="13"/>
  <c r="W20" i="13"/>
  <c r="AA20" i="13" s="1"/>
  <c r="Y19" i="13"/>
  <c r="W19" i="13"/>
  <c r="AA19" i="13" s="1"/>
  <c r="W18" i="13"/>
  <c r="V6" i="13"/>
  <c r="T6" i="13"/>
  <c r="R7" i="13" s="1"/>
  <c r="R6" i="13"/>
  <c r="W27" i="11"/>
  <c r="W21" i="11"/>
  <c r="V14" i="11"/>
  <c r="Q14" i="11"/>
  <c r="Q15" i="11" s="1"/>
  <c r="R27" i="11" s="1"/>
  <c r="R28" i="11" s="1"/>
  <c r="U34" i="11" s="1"/>
  <c r="V7" i="11"/>
  <c r="Q7" i="11"/>
  <c r="Q8" i="11" s="1"/>
  <c r="R21" i="11" s="1"/>
  <c r="R22" i="11" s="1"/>
  <c r="S34" i="11" s="1"/>
  <c r="R35" i="11" s="1"/>
  <c r="R14" i="10"/>
  <c r="U20" i="10" s="1"/>
  <c r="W13" i="10"/>
  <c r="R13" i="10"/>
  <c r="W6" i="10"/>
  <c r="R7" i="10" s="1"/>
  <c r="S20" i="10" s="1"/>
  <c r="R21" i="10" s="1"/>
  <c r="R6" i="10"/>
  <c r="C13" i="1"/>
  <c r="R35" i="9"/>
  <c r="R34" i="9"/>
  <c r="S26" i="9"/>
  <c r="Q27" i="9" s="1"/>
  <c r="R36" i="9" s="1"/>
  <c r="S21" i="9"/>
  <c r="S19" i="9"/>
  <c r="Q16" i="9"/>
  <c r="R33" i="9" s="1"/>
  <c r="S15" i="9"/>
  <c r="Q15" i="9"/>
  <c r="S14" i="9"/>
  <c r="Q14" i="9"/>
  <c r="Q8" i="9"/>
  <c r="R32" i="9" s="1"/>
  <c r="R37" i="9" s="1"/>
  <c r="V7" i="9"/>
  <c r="S7" i="9"/>
  <c r="Q7" i="9"/>
  <c r="C12" i="1"/>
  <c r="T19" i="8"/>
  <c r="S19" i="8"/>
  <c r="R19" i="8"/>
  <c r="Q19" i="8"/>
  <c r="P19" i="8"/>
  <c r="V12" i="8"/>
  <c r="U12" i="8"/>
  <c r="T12" i="8"/>
  <c r="S12" i="8"/>
  <c r="R12" i="8"/>
  <c r="Q12" i="8"/>
  <c r="P12" i="8"/>
  <c r="T25" i="8" s="1"/>
  <c r="R26" i="8" s="1"/>
  <c r="R35" i="12" l="1"/>
  <c r="T11" i="13"/>
  <c r="R12" i="13" s="1"/>
  <c r="T38" i="13" s="1"/>
  <c r="Y18" i="13"/>
  <c r="AA18" i="13"/>
  <c r="AA23" i="13" s="1"/>
  <c r="V33" i="13" s="1"/>
  <c r="V38" i="13" s="1"/>
  <c r="Q28" i="8"/>
  <c r="R34" i="8"/>
  <c r="T36" i="8" s="1"/>
  <c r="R39" i="13" l="1"/>
  <c r="U28" i="8"/>
  <c r="T28" i="8"/>
  <c r="W28" i="8"/>
  <c r="V28" i="8"/>
  <c r="C11" i="1" l="1"/>
  <c r="Q47" i="5"/>
  <c r="U40" i="5"/>
  <c r="U36" i="5"/>
  <c r="V32" i="5"/>
  <c r="T31" i="5"/>
  <c r="R31" i="5"/>
  <c r="V31" i="5" s="1"/>
  <c r="Q46" i="5" s="1"/>
  <c r="V26" i="5"/>
  <c r="P26" i="5"/>
  <c r="V25" i="5"/>
  <c r="P25" i="5"/>
  <c r="V24" i="5"/>
  <c r="P24" i="5"/>
  <c r="V23" i="5"/>
  <c r="P23" i="5"/>
  <c r="V22" i="5"/>
  <c r="P22" i="5"/>
  <c r="U16" i="5"/>
  <c r="P16" i="5"/>
  <c r="U15" i="5"/>
  <c r="P15" i="5"/>
  <c r="V14" i="5"/>
  <c r="U14" i="5"/>
  <c r="P14" i="5"/>
  <c r="U13" i="5"/>
  <c r="P13" i="5"/>
  <c r="U12" i="5"/>
  <c r="P12" i="5"/>
  <c r="U11" i="5"/>
  <c r="P11" i="5"/>
  <c r="U10" i="5"/>
  <c r="P10" i="5"/>
  <c r="U9" i="5"/>
  <c r="P9" i="5"/>
  <c r="V8" i="5"/>
  <c r="P8" i="5"/>
  <c r="U7" i="5"/>
  <c r="P7" i="5"/>
  <c r="U6" i="5"/>
  <c r="U17" i="5" s="1"/>
  <c r="V21" i="5" s="1"/>
  <c r="V27" i="5" s="1"/>
  <c r="P6" i="5"/>
  <c r="C10" i="1"/>
  <c r="U41" i="7"/>
  <c r="X37" i="7"/>
  <c r="U37" i="7"/>
  <c r="U38" i="7" s="1"/>
  <c r="R24" i="7"/>
  <c r="W18" i="7"/>
  <c r="W17" i="7"/>
  <c r="W16" i="7"/>
  <c r="W15" i="7"/>
  <c r="W14" i="7"/>
  <c r="Z14" i="7" s="1"/>
  <c r="R7" i="7" s="1"/>
  <c r="R8" i="7" s="1"/>
  <c r="S40" i="5" l="1"/>
  <c r="R41" i="5" s="1"/>
  <c r="R47" i="5" s="1"/>
  <c r="S47" i="5" s="1"/>
  <c r="S36" i="5"/>
  <c r="R37" i="5" s="1"/>
  <c r="R46" i="5" s="1"/>
  <c r="S46" i="5" s="1"/>
  <c r="S48" i="5" s="1"/>
  <c r="S53" i="5" s="1"/>
  <c r="Q53" i="5"/>
  <c r="S45" i="7"/>
  <c r="T31" i="7" s="1"/>
  <c r="S41" i="7"/>
  <c r="S42" i="7" s="1"/>
  <c r="R31" i="7" s="1"/>
  <c r="R32" i="7" s="1"/>
  <c r="U24" i="7" s="1"/>
  <c r="R25" i="7" s="1"/>
  <c r="U8" i="7" s="1"/>
  <c r="R9" i="7" s="1"/>
  <c r="Q54" i="5" l="1"/>
  <c r="T2" i="7"/>
  <c r="W2" i="7"/>
</calcChain>
</file>

<file path=xl/sharedStrings.xml><?xml version="1.0" encoding="utf-8"?>
<sst xmlns="http://schemas.openxmlformats.org/spreadsheetml/2006/main" count="2246" uniqueCount="478">
  <si>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</si>
  <si>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</si>
  <si>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</si>
  <si>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</si>
  <si>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</si>
  <si>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</si>
  <si>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</si>
  <si>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</si>
  <si>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</si>
  <si>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</si>
  <si>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</si>
  <si>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</si>
  <si>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</si>
  <si>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</si>
  <si>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</si>
  <si>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</si>
  <si>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</si>
  <si>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duration</t>
  </si>
  <si>
    <t>+</t>
  </si>
  <si>
    <t>(a)</t>
  </si>
  <si>
    <t>(b)</t>
  </si>
  <si>
    <t>margin</t>
  </si>
  <si>
    <t>OSFI.MCT-IFRS</t>
  </si>
  <si>
    <t>Based on source text</t>
  </si>
  <si>
    <t>The supervisery target capital ratio of 150%</t>
  </si>
  <si>
    <t xml:space="preserve"> with a ratio of</t>
  </si>
  <si>
    <t>Basic MCT Ratio Calculation</t>
  </si>
  <si>
    <t>Step 1</t>
  </si>
  <si>
    <t xml:space="preserve"> Write down the formula (then substitute the values from the side calculations below)</t>
  </si>
  <si>
    <t>Calculate the diversification credit and the final MCT ratio.</t>
  </si>
  <si>
    <t>State whether OSFI's supervisery target capital ratio is met.</t>
  </si>
  <si>
    <t>MCT ratio</t>
  </si>
  <si>
    <t>CapAv</t>
  </si>
  <si>
    <t>/</t>
  </si>
  <si>
    <t>min CapReq</t>
  </si>
  <si>
    <t>(</t>
  </si>
  <si>
    <t>CapReq</t>
  </si>
  <si>
    <t>)</t>
  </si>
  <si>
    <t>Capital Available</t>
  </si>
  <si>
    <t>gross capital available</t>
  </si>
  <si>
    <t>deduction 1</t>
  </si>
  <si>
    <t>&lt;==</t>
  </si>
  <si>
    <t>deduction for unregistered reinsurance</t>
  </si>
  <si>
    <t>(final answer)</t>
  </si>
  <si>
    <t>deduction 2</t>
  </si>
  <si>
    <t>deduction related to category B &amp; C capital composition limits</t>
  </si>
  <si>
    <t>other deductions</t>
  </si>
  <si>
    <t>Side Calc</t>
  </si>
  <si>
    <t xml:space="preserve"> Calculate  the final value for capital available</t>
  </si>
  <si>
    <t>other additions</t>
  </si>
  <si>
    <t>Capital Required</t>
  </si>
  <si>
    <t>Notation</t>
  </si>
  <si>
    <t xml:space="preserve">- </t>
  </si>
  <si>
    <t>Insurance risk</t>
  </si>
  <si>
    <t>I</t>
  </si>
  <si>
    <t>Market risk</t>
  </si>
  <si>
    <t>M</t>
  </si>
  <si>
    <t>Credit risk</t>
  </si>
  <si>
    <t>C</t>
  </si>
  <si>
    <t xml:space="preserve">+ </t>
  </si>
  <si>
    <t>Operational risk</t>
  </si>
  <si>
    <t>O</t>
  </si>
  <si>
    <t>diversification correlation</t>
  </si>
  <si>
    <t>R</t>
  </si>
  <si>
    <t>(used for calculating DC or Diversification Credit)</t>
  </si>
  <si>
    <t xml:space="preserve"> Calculate the total capital required</t>
  </si>
  <si>
    <t>SUM(IMCO)</t>
  </si>
  <si>
    <t>DC</t>
  </si>
  <si>
    <t>Side calculation for Diversification Credit:</t>
  </si>
  <si>
    <t xml:space="preserve"> (This looks more complicated than it really is.)</t>
  </si>
  <si>
    <t>Sum 1</t>
  </si>
  <si>
    <r>
      <t>SQRT(</t>
    </r>
    <r>
      <rPr>
        <b/>
        <sz val="11"/>
        <color rgb="FF00B050"/>
        <rFont val="Calibri"/>
        <family val="2"/>
        <scheme val="minor"/>
      </rPr>
      <t>Sum 2</t>
    </r>
    <r>
      <rPr>
        <sz val="11"/>
        <color theme="1"/>
        <rFont val="Calibri"/>
        <family val="2"/>
        <scheme val="minor"/>
      </rPr>
      <t>)</t>
    </r>
  </si>
  <si>
    <t>Another side calc:</t>
  </si>
  <si>
    <t>Define</t>
  </si>
  <si>
    <t>A</t>
  </si>
  <si>
    <t>Asset risk</t>
  </si>
  <si>
    <t>Then</t>
  </si>
  <si>
    <t>And</t>
  </si>
  <si>
    <t>Sum 2</t>
  </si>
  <si>
    <r>
      <t>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</si>
  <si>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</si>
  <si>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t>2R x A x I</t>
  </si>
  <si>
    <r>
      <t xml:space="preserve">(Now substitute </t>
    </r>
    <r>
      <rPr>
        <b/>
        <i/>
        <sz val="11"/>
        <color rgb="FF0070C0"/>
        <rFont val="Calibri"/>
        <family val="2"/>
        <scheme val="minor"/>
      </rPr>
      <t>Sum 1</t>
    </r>
    <r>
      <rPr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rgb="FF00B050"/>
        <rFont val="Calibri"/>
        <family val="2"/>
        <scheme val="minor"/>
      </rPr>
      <t>Sum 2</t>
    </r>
    <r>
      <rPr>
        <i/>
        <sz val="11"/>
        <color theme="1"/>
        <rFont val="Calibri"/>
        <family val="2"/>
        <scheme val="minor"/>
      </rPr>
      <t xml:space="preserve"> above.)</t>
    </r>
  </si>
  <si>
    <t>Step 1:</t>
  </si>
  <si>
    <t xml:space="preserve"> Calculate the total capital available before any adjustments</t>
  </si>
  <si>
    <t>Given the following excerpt from an insurer's financial statements, calculate the total capital available,</t>
  </si>
  <si>
    <t>include</t>
  </si>
  <si>
    <t>exclude</t>
  </si>
  <si>
    <t>taking into account all deductions and additions.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</si>
  <si>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</si>
  <si>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</si>
  <si>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</si>
  <si>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</si>
  <si>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</si>
  <si>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</si>
  <si>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</si>
  <si>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</si>
  <si>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</si>
  <si>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</si>
  <si>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</si>
  <si>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</si>
  <si>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</si>
  <si>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</si>
  <si>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</si>
  <si>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</si>
  <si>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</si>
  <si>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</si>
  <si>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</si>
  <si>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</si>
  <si>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</si>
  <si>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</si>
  <si>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</si>
  <si>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Step 2:</t>
  </si>
  <si>
    <t xml:space="preserve"> Apply adjustments other than capital composition limits</t>
  </si>
  <si>
    <t>540</t>
  </si>
  <si>
    <t xml:space="preserve">Other Capital </t>
  </si>
  <si>
    <t>550</t>
  </si>
  <si>
    <t>Retained Earnings</t>
  </si>
  <si>
    <t>Gross capital available from step 1</t>
  </si>
  <si>
    <t>560</t>
  </si>
  <si>
    <t>Nuclear and Other Reserves</t>
  </si>
  <si>
    <t>addition</t>
  </si>
  <si>
    <t>570</t>
  </si>
  <si>
    <t>Accumulated Other Comprehensive Income (Loss)</t>
  </si>
  <si>
    <t>addition (could be negative)</t>
  </si>
  <si>
    <t>599</t>
  </si>
  <si>
    <t>Total Shareholders' Equity</t>
  </si>
  <si>
    <t>deduction</t>
  </si>
  <si>
    <t>620</t>
  </si>
  <si>
    <t>Non-controlling Interests</t>
  </si>
  <si>
    <t>699</t>
  </si>
  <si>
    <t>Total Equity</t>
  </si>
  <si>
    <t>Conditions for including non-controlling interests in capital available:</t>
  </si>
  <si>
    <t>met</t>
  </si>
  <si>
    <t>Step 3:</t>
  </si>
  <si>
    <t xml:space="preserve"> Check capital composition limits for category B &amp; C capital and reduce capital available if necessary</t>
  </si>
  <si>
    <t>Other Information</t>
  </si>
  <si>
    <t>Category B capital</t>
  </si>
  <si>
    <t>B+C</t>
  </si>
  <si>
    <t>Category C capital</t>
  </si>
  <si>
    <t>Contractual service margin (CSM) for title insurance contracts</t>
  </si>
  <si>
    <t>Adjustments to owner-occupied property valuations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</si>
  <si>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Deduction for unregistered reinsurance</t>
    </r>
  </si>
  <si>
    <t>BC Limit</t>
  </si>
  <si>
    <t>Step 2</t>
  </si>
  <si>
    <t>AOCI</t>
  </si>
  <si>
    <t>x</t>
  </si>
  <si>
    <t>Interest in non-qualifying subsidiary with more than 10% ownership</t>
  </si>
  <si>
    <t>Deferred tax assets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</si>
  <si>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The deduction for unregistered reinsurance is potentially a separate calculation</t>
    </r>
  </si>
  <si>
    <t>C Limit</t>
  </si>
  <si>
    <t>but for the purposes of this problem, it is provided.</t>
  </si>
  <si>
    <t>So we have:</t>
  </si>
  <si>
    <t>excess</t>
  </si>
  <si>
    <t>amount</t>
  </si>
  <si>
    <t>limit</t>
  </si>
  <si>
    <t>exclude maximum of excess amounts</t>
  </si>
  <si>
    <t>Final answer for MCT capital available</t>
  </si>
  <si>
    <t>maximum of excess amounts</t>
  </si>
  <si>
    <t>final answer</t>
  </si>
  <si>
    <t>Capital Available - Deduction for Unregistered Reinsurance</t>
  </si>
  <si>
    <t>NOTE:</t>
  </si>
  <si>
    <t>Since this insurer used PAA to measure reinsurance contracts, we know that:</t>
  </si>
  <si>
    <t>A = A* + A1 + A2</t>
  </si>
  <si>
    <t>Calculate the deduction from capital availabe for unregistered reinsurance.</t>
  </si>
  <si>
    <t xml:space="preserve"> Label the columns with the letters used in the formula given in the MCT source text</t>
  </si>
  <si>
    <t>from page 70.60 - REINSURANCE CONTRACTS HELD SUMMARY (UNREGISTERED REINSURANCE)</t>
  </si>
  <si>
    <t>A*</t>
  </si>
  <si>
    <t>B (Col 72 for PAA)</t>
  </si>
  <si>
    <t>D</t>
  </si>
  <si>
    <t>E</t>
  </si>
  <si>
    <t>Assets for Remaining Coverage</t>
  </si>
  <si>
    <t>Asssets for Incurred Claims</t>
  </si>
  <si>
    <t>Reinsurance Contract Held Balances (62+72+74)</t>
  </si>
  <si>
    <t>Receivables</t>
  </si>
  <si>
    <t>Reinsurance Contract Held Balances
Total
(62+72+74)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</si>
  <si>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</si>
  <si>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</si>
  <si>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</si>
  <si>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</si>
  <si>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</si>
  <si>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</si>
  <si>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</si>
  <si>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</si>
  <si>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</si>
  <si>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</si>
  <si>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</si>
  <si>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</si>
  <si>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</si>
  <si>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</si>
  <si>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</si>
  <si>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</si>
  <si>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</si>
  <si>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</si>
  <si>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</si>
  <si>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</si>
  <si>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</si>
  <si>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</si>
  <si>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</si>
  <si>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</si>
  <si>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</si>
  <si>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</si>
  <si>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>Assume this insurer used the PAA to measure the reinsurance contracts held:</t>
  </si>
  <si>
    <t xml:space="preserve"> Check whether the limit on LOC (Letters of Credit) is exceeded</t>
  </si>
  <si>
    <t>unamortized reinsurance commission</t>
  </si>
  <si>
    <t>Label this: A1</t>
  </si>
  <si>
    <t>LOC Limit</t>
  </si>
  <si>
    <t>( A + B )</t>
  </si>
  <si>
    <t>premiums payable to the assuming insurer</t>
  </si>
  <si>
    <t>Label this: A2</t>
  </si>
  <si>
    <t>You may also make the following assumption:</t>
  </si>
  <si>
    <t>LOC</t>
  </si>
  <si>
    <t>exceed LOC Limit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</si>
  <si>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</si>
  <si>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</si>
  <si>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</si>
  <si>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Step 3</t>
  </si>
  <si>
    <t xml:space="preserve"> Apply the formula for the deduction from capital available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</si>
  <si>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</si>
  <si>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</si>
  <si>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>( A + B + C + D )  - ( E + F + G + H + I )</t>
  </si>
  <si>
    <t>&lt;== assume C = 0</t>
  </si>
  <si>
    <t xml:space="preserve">            collateral that are included in (A) and (B)</t>
  </si>
  <si>
    <t>Apply deduction only if it is greater than 0:</t>
  </si>
  <si>
    <t xml:space="preserve"> final answer for deduction</t>
  </si>
  <si>
    <t>Calculate capital required for each subcomponent of insurance risk then sum.</t>
  </si>
  <si>
    <t>LIC</t>
  </si>
  <si>
    <t>Calculate the capital required for MCT insurance risk.</t>
  </si>
  <si>
    <t xml:space="preserve"> margin(LIC)</t>
  </si>
  <si>
    <t>(risk fctr)</t>
  </si>
  <si>
    <t>[ net LIC(issued) excl. RANF   –   AIC(re held) excl RANF ]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</si>
  <si>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</si>
  <si>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</si>
  <si>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</si>
  <si>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</si>
  <si>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</si>
  <si>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</t>
  </si>
  <si>
    <t>margin(unexpired coverage)</t>
  </si>
  <si>
    <t>unexpired coverage for insurance contracts issued</t>
  </si>
  <si>
    <t>MAX [ (net unexpired coverage) , 30% x (net premiums received past 12 months) ]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</si>
  <si>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</si>
  <si>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</si>
  <si>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</si>
  <si>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</si>
  <si>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</si>
  <si>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unregistered reinsurance</t>
  </si>
  <si>
    <t>this was given</t>
  </si>
  <si>
    <t>premium received on nuclear risk policies</t>
  </si>
  <si>
    <t>earthquakes</t>
  </si>
  <si>
    <t>premium paid on nuclear risk policies</t>
  </si>
  <si>
    <t>commissions related to nuclear risk policies</t>
  </si>
  <si>
    <t>nuclear</t>
  </si>
  <si>
    <t>margin(nuclear)</t>
  </si>
  <si>
    <t>[ ( premiums received ) - ( premiums paid ) - commissions ]</t>
  </si>
  <si>
    <t>Sum the components (earthquake &amp; nuclear together are considered 1 component in the source text)</t>
  </si>
  <si>
    <t>final answer for total capital required for INSURANCE RISK</t>
  </si>
  <si>
    <t xml:space="preserve"> Calculate the value of "A" (asset calculation)</t>
  </si>
  <si>
    <t>Calculate the MCT margin for interest rate risk.</t>
  </si>
  <si>
    <t>(asset duration)</t>
  </si>
  <si>
    <t>Δy</t>
  </si>
  <si>
    <t>(asset value)</t>
  </si>
  <si>
    <t>value</t>
  </si>
  <si>
    <t>interest rate sensitive assets</t>
  </si>
  <si>
    <t>interest rate sensitive liabilities</t>
  </si>
  <si>
    <t xml:space="preserve"> Calculate the value of "B" (liability calculation)</t>
  </si>
  <si>
    <t>B</t>
  </si>
  <si>
    <t>(liability duration)</t>
  </si>
  <si>
    <t>(liability value)</t>
  </si>
  <si>
    <t xml:space="preserve"> Calculate the margin for interest rate risk</t>
  </si>
  <si>
    <t>Problem 5</t>
  </si>
  <si>
    <t>Problem 6</t>
  </si>
  <si>
    <t>Step 1a</t>
  </si>
  <si>
    <t xml:space="preserve"> Calculate the average duration for the interest rate sensitive ASSETS.</t>
  </si>
  <si>
    <t>average duration of ASSETS</t>
  </si>
  <si>
    <t>SUMPRODUCT( Value , Duration )</t>
  </si>
  <si>
    <t>(Total Asset Values)</t>
  </si>
  <si>
    <t>Interest rate sensitive assets</t>
  </si>
  <si>
    <t>Value</t>
  </si>
  <si>
    <t>Duration</t>
  </si>
  <si>
    <t xml:space="preserve">  Term deposits</t>
  </si>
  <si>
    <t xml:space="preserve">  Bonds &amp; debentures</t>
  </si>
  <si>
    <t xml:space="preserve">  Commercial paper</t>
  </si>
  <si>
    <t xml:space="preserve"> Calculate the average duration for the interest rate sensitive LIABILITIES.</t>
  </si>
  <si>
    <t xml:space="preserve">  Loans</t>
  </si>
  <si>
    <t xml:space="preserve">  Mortgages</t>
  </si>
  <si>
    <t>average duration of LIABILITIES</t>
  </si>
  <si>
    <t xml:space="preserve">  Preferred Shares</t>
  </si>
  <si>
    <t>(Total Liability Values)</t>
  </si>
  <si>
    <t>Total</t>
  </si>
  <si>
    <t>Interest rate sensitive liabilities</t>
  </si>
  <si>
    <t xml:space="preserve">  LIC (Liability for Incurred Claims)</t>
  </si>
  <si>
    <t xml:space="preserve">  LRC (Liability for Remaining Coverage)</t>
  </si>
  <si>
    <t>Step 2a</t>
  </si>
  <si>
    <t xml:space="preserve"> Calculate the value of "A" (asset calculation) in the interest rate risk margin formula</t>
  </si>
  <si>
    <t>Step 2b</t>
  </si>
  <si>
    <t xml:space="preserve"> Calculate the CAP on operational risk</t>
  </si>
  <si>
    <t>Calculate the MCT margin required for operational risk.</t>
  </si>
  <si>
    <t>CR(0)</t>
  </si>
  <si>
    <t>AWP(ig)</t>
  </si>
  <si>
    <t>==&gt;</t>
  </si>
  <si>
    <t>($) AWP (last 12 mths) from intra-group pooling</t>
  </si>
  <si>
    <t>CWP(ig)</t>
  </si>
  <si>
    <t>($) CWP (last 12 mths) from intra-group pooling</t>
  </si>
  <si>
    <t>Then the CAP on operational risk</t>
  </si>
  <si>
    <t>Insurance Risk</t>
  </si>
  <si>
    <t>Market Risk</t>
  </si>
  <si>
    <t>Credit Risk</t>
  </si>
  <si>
    <t xml:space="preserve"> Apply the formula for operational risk by calculating the capital required for the A and B components below:</t>
  </si>
  <si>
    <t>Premium Information</t>
  </si>
  <si>
    <t>Intra-group Pooling</t>
  </si>
  <si>
    <t>DWP</t>
  </si>
  <si>
    <t>A components</t>
  </si>
  <si>
    <t>AWP</t>
  </si>
  <si>
    <t>CWP</t>
  </si>
  <si>
    <t>(Risk factor) x CR(0)</t>
  </si>
  <si>
    <t>Premium Growth</t>
  </si>
  <si>
    <t>(Risk factor) x DWP</t>
  </si>
  <si>
    <t>(Risk factor) x AWP</t>
  </si>
  <si>
    <t>Risk Factors</t>
  </si>
  <si>
    <t>(Risk factor) x CWP</t>
  </si>
  <si>
    <t>Risk factor: DWP (past 12 months)</t>
  </si>
  <si>
    <t>(Risk factor) x (growth above 20%) x (DWP + AWP) / (1 + growth)</t>
  </si>
  <si>
    <t>Risk factor: AWP (past 12 months) - not intra-group pool</t>
  </si>
  <si>
    <t>SUM</t>
  </si>
  <si>
    <t>Risk factor: AWP (past 12 months) - intra-group pool</t>
  </si>
  <si>
    <t>Risk factor: CWP (past 12 months) - not intra-group pool</t>
  </si>
  <si>
    <t>B components</t>
  </si>
  <si>
    <t>Risk factor: CWP (past 12 months) - intra-group pool</t>
  </si>
  <si>
    <t>Risk factor: premium growth above 20% threshold</t>
  </si>
  <si>
    <t>(Risk factor) x AWP(ig)</t>
  </si>
  <si>
    <t>Risk factor: CapReq component - applied to CR(0)</t>
  </si>
  <si>
    <t>(Risk factor) x CWP(ig)</t>
  </si>
  <si>
    <t>take MAX (not sum) !!!!!!!!!</t>
  </si>
  <si>
    <t>Sum the capital required for the A and B components to get capital required for operational risk BEFORE CAP IS APPLIED</t>
  </si>
  <si>
    <t>BEFORE CAP !!!!!!!!!</t>
  </si>
  <si>
    <t xml:space="preserve"> Apply the CAP from Step 1 to the result of Step 2 to get the final value for operational risk</t>
  </si>
  <si>
    <t>capital required for operational risk</t>
  </si>
  <si>
    <t>min</t>
  </si>
  <si>
    <t>,</t>
  </si>
  <si>
    <t>Problem 7</t>
  </si>
  <si>
    <t>Problem 8</t>
  </si>
  <si>
    <t>Capital Required - Market Risk - Interest Rates (Harder version)</t>
  </si>
  <si>
    <t>Capital Required - Market Risk - Interest Rates</t>
  </si>
  <si>
    <t>Capital Available - TOTAL</t>
  </si>
  <si>
    <t>Capital Required - Insurance Risk - TOTAL</t>
  </si>
  <si>
    <t>Capital Required - Operational Risk - TOTAL</t>
  </si>
  <si>
    <t>Capital Required - Insurance Risk (Earthquake Component)</t>
  </si>
  <si>
    <t xml:space="preserve"> Calculate ERX for both the "Model Approach" and the "Standard Approach"</t>
  </si>
  <si>
    <t xml:space="preserve"> (Everything else is the same for both approaches.)</t>
  </si>
  <si>
    <t>Calculate the capital required for the earthquake component of insurance risk.</t>
  </si>
  <si>
    <t>Model Approach:</t>
  </si>
  <si>
    <t>Year</t>
  </si>
  <si>
    <t>ERX</t>
  </si>
  <si>
    <t>( (East Canada PML500)^1.5 + (West Canada PML500)^1.5 ) ^ (1/1.5)</t>
  </si>
  <si>
    <t>Method</t>
  </si>
  <si>
    <t>Model Approach</t>
  </si>
  <si>
    <t>( (East Canada PML500) ^ 1.5</t>
  </si>
  <si>
    <t>(West Canada PML500) ^ 1.5</t>
  </si>
  <si>
    <t>) ^ (1 / 1.5)</t>
  </si>
  <si>
    <t>^ 1.5</t>
  </si>
  <si>
    <t>East Canada PML500</t>
  </si>
  <si>
    <t>West Canada PML500</t>
  </si>
  <si>
    <t>East Canada PTIV</t>
  </si>
  <si>
    <t>Standard Approach:</t>
  </si>
  <si>
    <t>West Canada PTIV</t>
  </si>
  <si>
    <t>EPR (part of FinRes, next line)</t>
  </si>
  <si>
    <t>MAX (</t>
  </si>
  <si>
    <t>[East Canada PTIV]</t>
  </si>
  <si>
    <t>(applicable deductible)</t>
  </si>
  <si>
    <t>FinRes (Financial Resources)</t>
  </si>
  <si>
    <t>[West Canada PTIV]</t>
  </si>
  <si>
    <t>East Canada PML420</t>
  </si>
  <si>
    <t>West Canada PML420</t>
  </si>
  <si>
    <t>applicable deductible (assume the same for East &amp; West Canada)</t>
  </si>
  <si>
    <t>ER</t>
  </si>
  <si>
    <t>Earthquake Reserves</t>
  </si>
  <si>
    <t>EPR</t>
  </si>
  <si>
    <t>Earthquake Premium Reserves (voluntary accumulation of premium up to PML500)</t>
  </si>
  <si>
    <t xml:space="preserve"> Calculate ERC, using the appropriate value of ERX from Step 1</t>
  </si>
  <si>
    <t>ERC</t>
  </si>
  <si>
    <t>Earthquake Reserve Component</t>
  </si>
  <si>
    <t>Earthquake Risk Exposure (varies by method chosen)</t>
  </si>
  <si>
    <t>FinRes</t>
  </si>
  <si>
    <t>PTIV</t>
  </si>
  <si>
    <t>Property Total Insured Value</t>
  </si>
  <si>
    <t>Financial Resources</t>
  </si>
  <si>
    <t xml:space="preserve"> Calculate ER</t>
  </si>
  <si>
    <t>Capital Required - Market Risk - TOTAL</t>
  </si>
  <si>
    <t>Problem 9</t>
  </si>
  <si>
    <t xml:space="preserve"> Calculate the separate components of market risk.</t>
  </si>
  <si>
    <r>
      <t xml:space="preserve">Recall the memory trick about the mysterious </t>
    </r>
    <r>
      <rPr>
        <b/>
        <sz val="11"/>
        <color theme="1"/>
        <rFont val="Calibri"/>
        <family val="2"/>
        <scheme val="minor"/>
      </rPr>
      <t>Mr.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IFER</t>
    </r>
  </si>
  <si>
    <t>Calculate the capital required for MCT market risk.</t>
  </si>
  <si>
    <t>"I" is for Interest Rate Risk</t>
  </si>
  <si>
    <t>interest rate sensitive B/S items</t>
  </si>
  <si>
    <t>modified duration</t>
  </si>
  <si>
    <t>($CAD)</t>
  </si>
  <si>
    <t>(Δy)</t>
  </si>
  <si>
    <t>(asset values)</t>
  </si>
  <si>
    <t>bonds &amp; debentures</t>
  </si>
  <si>
    <t>(liability values)</t>
  </si>
  <si>
    <t>loans</t>
  </si>
  <si>
    <t>LIC (Liability for Incurred Claims)</t>
  </si>
  <si>
    <t>absolute value of (A - B)</t>
  </si>
  <si>
    <t>LRC (Liability for Remaining Coverage)</t>
  </si>
  <si>
    <t>Let's substitute the numbers:</t>
  </si>
  <si>
    <r>
      <t xml:space="preserve">(This is a lot simpler than it looks because I wrote out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steps.)</t>
    </r>
  </si>
  <si>
    <t>interest rate shock (Δy) in bps</t>
  </si>
  <si>
    <t>modified</t>
  </si>
  <si>
    <t>foreign assets/liabilities</t>
  </si>
  <si>
    <t>currency</t>
  </si>
  <si>
    <t>RESULT</t>
  </si>
  <si>
    <t>asset: bonds &amp; debentures</t>
  </si>
  <si>
    <t>($AUS)</t>
  </si>
  <si>
    <t>asset</t>
  </si>
  <si>
    <t>asset: loans</t>
  </si>
  <si>
    <t>liability: LIC</t>
  </si>
  <si>
    <t>liability</t>
  </si>
  <si>
    <t>LRC</t>
  </si>
  <si>
    <t>other assets</t>
  </si>
  <si>
    <t>common shares</t>
  </si>
  <si>
    <t>Now:</t>
  </si>
  <si>
    <t>joint ventures &lt; 10% owned</t>
  </si>
  <si>
    <t>owner-occupied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</si>
  <si>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</si>
  <si>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investment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</si>
  <si>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liabilities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</si>
  <si>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Then the capital required for interest rate risk is |A - B|</t>
  </si>
  <si>
    <t>"F" is for Foreign Exchange Risk</t>
  </si>
  <si>
    <t>net long position</t>
  </si>
  <si>
    <t>net short position</t>
  </si>
  <si>
    <t>"E" is for Equity Risk</t>
  </si>
  <si>
    <t>joint ventures with ≤ 10% owned )</t>
  </si>
  <si>
    <t>"R" is for Real Estate Risk</t>
  </si>
  <si>
    <t>(owner-occupied property)</t>
  </si>
  <si>
    <t>(investment property)</t>
  </si>
  <si>
    <t xml:space="preserve"> Sum the components of market risk to get the grand total.</t>
  </si>
  <si>
    <t>Interest Rate Risk</t>
  </si>
  <si>
    <t>Foreign Exchange Risk</t>
  </si>
  <si>
    <t>Equity Risk</t>
  </si>
  <si>
    <t>Real Estate Risk</t>
  </si>
  <si>
    <t xml:space="preserve">  (final answer)</t>
  </si>
  <si>
    <t>Problem 10</t>
  </si>
  <si>
    <t>Capital Required - Credit Risk - TOTAL</t>
  </si>
  <si>
    <t xml:space="preserve"> Calculate the margin required for Balance Sheet Exposures using the following formula.</t>
  </si>
  <si>
    <t>Calculate the MCT margin for credit risk.</t>
  </si>
  <si>
    <t>Margin</t>
  </si>
  <si>
    <t>Risk Factor</t>
  </si>
  <si>
    <t>Information for Balance Sheet Assets</t>
  </si>
  <si>
    <t>Risk</t>
  </si>
  <si>
    <t>Asset</t>
  </si>
  <si>
    <t>Factor</t>
  </si>
  <si>
    <t>Required</t>
  </si>
  <si>
    <t>AAA long-term obligations (1 - 5 years maturity)</t>
  </si>
  <si>
    <t>BBB long-term obligations (more than 5 years maturity)</t>
  </si>
  <si>
    <t>A-2, F2, P-2, R-2 or equivalent short-term obligations</t>
  </si>
  <si>
    <t>Unrated short-term obligations</t>
  </si>
  <si>
    <t>Cash</t>
  </si>
  <si>
    <t>Outstanding receivables &lt; 60 days overdue from agent</t>
  </si>
  <si>
    <t>Information for Off Balance Sheet Assets</t>
  </si>
  <si>
    <t xml:space="preserve"> Calculate the margin required for Off Balance Sheet Exposures using the following formula.</t>
  </si>
  <si>
    <t>Eligible</t>
  </si>
  <si>
    <t>CEA</t>
  </si>
  <si>
    <t>Collateral</t>
  </si>
  <si>
    <t>CCF</t>
  </si>
  <si>
    <t>collateral</t>
  </si>
  <si>
    <t>Structured Settlements</t>
  </si>
  <si>
    <t>LOC (Letters of Credit)</t>
  </si>
  <si>
    <t>NOD (Non-owned Deposits)</t>
  </si>
  <si>
    <t>Derivatives</t>
  </si>
  <si>
    <t>Credit Equivalent Amount</t>
  </si>
  <si>
    <t>Credit Conversion Factor</t>
  </si>
  <si>
    <t>Information for Collaterals &amp; Guarantees</t>
  </si>
  <si>
    <t xml:space="preserve"> Sum the 3 components of credit risk.</t>
  </si>
  <si>
    <t>Total for all collateral &amp; guarantees</t>
  </si>
  <si>
    <t>Balance Sheet Assets</t>
  </si>
  <si>
    <t>Off Balance Sheet Assets</t>
  </si>
  <si>
    <t>Collaterals &amp; Guarantees</t>
  </si>
  <si>
    <t>Exam 6C:  Minimum Capital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</si>
</sst>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7" formatCode="#,##0.000"/>
    <numFmt numFmtId="168" formatCode="#,##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</cellStyleXfs>
  <cellXfs count="284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4" xfId="0" applyNumberFormat="1" applyFont="1" applyBorder="1"/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8" xfId="0" applyNumberFormat="1" applyFont="1" applyBorder="1"/>
    <xf numFmtId="3" fontId="0" fillId="0" borderId="13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3" fontId="13" fillId="0" borderId="0" xfId="0" applyNumberFormat="1" applyFont="1"/>
    <xf numFmtId="0" fontId="1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1" fillId="0" borderId="6" xfId="0" applyNumberFormat="1" applyFont="1" applyBorder="1" applyAlignment="1">
      <alignment horizontal="center"/>
    </xf>
    <xf numFmtId="0" fontId="8" fillId="6" borderId="0" xfId="4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quotePrefix="1" applyFont="1" applyAlignment="1">
      <alignment horizontal="center"/>
    </xf>
    <xf numFmtId="3" fontId="4" fillId="7" borderId="0" xfId="6" applyNumberFormat="1" applyAlignment="1">
      <alignment horizontal="center"/>
    </xf>
    <xf numFmtId="0" fontId="0" fillId="0" borderId="0" xfId="0" quotePrefix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164" fontId="8" fillId="6" borderId="0" xfId="4" applyNumberFormat="1" applyAlignment="1">
      <alignment horizontal="center"/>
    </xf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7" borderId="0" xfId="6" applyNumberFormat="1" applyFont="1" applyAlignment="1">
      <alignment horizontal="center"/>
    </xf>
    <xf numFmtId="0" fontId="15" fillId="0" borderId="10" xfId="0" applyFont="1" applyBorder="1" applyAlignment="1">
      <alignment horizontal="center"/>
    </xf>
    <xf numFmtId="3" fontId="0" fillId="0" borderId="12" xfId="0" applyNumberFormat="1" applyFont="1" applyBorder="1"/>
    <xf numFmtId="3" fontId="4" fillId="7" borderId="12" xfId="6" applyNumberFormat="1" applyBorder="1" applyAlignment="1">
      <alignment horizontal="center"/>
    </xf>
    <xf numFmtId="3" fontId="0" fillId="0" borderId="13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165" fontId="0" fillId="3" borderId="6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16" fillId="0" borderId="0" xfId="0" applyFont="1" applyAlignment="1">
      <alignment horizontal="center"/>
    </xf>
    <xf numFmtId="3" fontId="0" fillId="0" borderId="0" xfId="0" applyNumberFormat="1" applyFont="1" applyAlignment="1"/>
    <xf numFmtId="3" fontId="0" fillId="0" borderId="0" xfId="0" applyNumberFormat="1" applyAlignment="1"/>
    <xf numFmtId="3" fontId="1" fillId="0" borderId="4" xfId="0" applyNumberFormat="1" applyFont="1" applyBorder="1" applyAlignment="1">
      <alignment horizontal="left"/>
    </xf>
    <xf numFmtId="0" fontId="1" fillId="0" borderId="6" xfId="0" applyFont="1" applyBorder="1"/>
    <xf numFmtId="3" fontId="12" fillId="0" borderId="0" xfId="0" applyNumberFormat="1" applyFont="1"/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8" fillId="6" borderId="11" xfId="4" applyNumberFormat="1" applyBorder="1"/>
    <xf numFmtId="3" fontId="8" fillId="6" borderId="1" xfId="4" applyNumberFormat="1" applyBorder="1"/>
    <xf numFmtId="3" fontId="19" fillId="0" borderId="0" xfId="0" applyNumberFormat="1" applyFont="1"/>
    <xf numFmtId="3" fontId="1" fillId="0" borderId="0" xfId="0" applyNumberFormat="1" applyFont="1" applyBorder="1"/>
    <xf numFmtId="3" fontId="0" fillId="3" borderId="7" xfId="0" applyNumberFormat="1" applyFont="1" applyFill="1" applyBorder="1"/>
    <xf numFmtId="3" fontId="4" fillId="7" borderId="11" xfId="6" applyNumberFormat="1" applyBorder="1"/>
    <xf numFmtId="9" fontId="0" fillId="0" borderId="0" xfId="5" applyFont="1" applyAlignment="1">
      <alignment horizontal="center"/>
    </xf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left"/>
    </xf>
    <xf numFmtId="3" fontId="5" fillId="0" borderId="10" xfId="0" applyNumberFormat="1" applyFont="1" applyBorder="1"/>
    <xf numFmtId="3" fontId="11" fillId="0" borderId="0" xfId="0" applyNumberFormat="1" applyFont="1"/>
    <xf numFmtId="0" fontId="2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22" fillId="0" borderId="0" xfId="9" applyFont="1" applyFill="1" applyAlignment="1"/>
    <xf numFmtId="0" fontId="22" fillId="0" borderId="0" xfId="9" applyFont="1" applyFill="1" applyAlignment="1">
      <alignment horizontal="center"/>
    </xf>
    <xf numFmtId="0" fontId="23" fillId="0" borderId="0" xfId="9" applyFont="1" applyFill="1" applyAlignment="1">
      <alignment horizontal="center"/>
    </xf>
    <xf numFmtId="0" fontId="23" fillId="0" borderId="0" xfId="9" applyFont="1" applyFill="1" applyAlignment="1">
      <alignment horizontal="left"/>
    </xf>
    <xf numFmtId="0" fontId="24" fillId="0" borderId="15" xfId="9" applyFont="1" applyFill="1" applyBorder="1" applyAlignment="1">
      <alignment horizontal="center" vertical="top" wrapText="1"/>
    </xf>
    <xf numFmtId="0" fontId="24" fillId="0" borderId="4" xfId="9" applyFont="1" applyFill="1" applyBorder="1" applyAlignment="1">
      <alignment horizontal="center" wrapText="1"/>
    </xf>
    <xf numFmtId="0" fontId="24" fillId="0" borderId="6" xfId="9" applyFont="1" applyFill="1" applyBorder="1" applyAlignment="1">
      <alignment horizontal="center" wrapText="1"/>
    </xf>
    <xf numFmtId="0" fontId="24" fillId="0" borderId="4" xfId="9" applyFont="1" applyBorder="1" applyAlignment="1">
      <alignment horizontal="center"/>
    </xf>
    <xf numFmtId="0" fontId="24" fillId="0" borderId="5" xfId="9" applyFont="1" applyBorder="1" applyAlignment="1">
      <alignment horizontal="center"/>
    </xf>
    <xf numFmtId="0" fontId="24" fillId="0" borderId="6" xfId="9" applyFont="1" applyBorder="1" applyAlignment="1">
      <alignment horizontal="center"/>
    </xf>
    <xf numFmtId="0" fontId="24" fillId="0" borderId="8" xfId="9" applyFont="1" applyFill="1" applyBorder="1" applyAlignment="1">
      <alignment horizontal="center" vertical="top" wrapText="1"/>
    </xf>
    <xf numFmtId="0" fontId="24" fillId="0" borderId="15" xfId="9" applyFont="1" applyBorder="1" applyAlignment="1">
      <alignment horizontal="center" vertical="top" wrapText="1"/>
    </xf>
    <xf numFmtId="0" fontId="24" fillId="0" borderId="8" xfId="9" applyFont="1" applyBorder="1" applyAlignment="1">
      <alignment horizontal="center" vertical="top" wrapText="1"/>
    </xf>
    <xf numFmtId="0" fontId="24" fillId="0" borderId="9" xfId="9" quotePrefix="1" applyFont="1" applyFill="1" applyBorder="1" applyAlignment="1">
      <alignment horizontal="center" wrapText="1"/>
    </xf>
    <xf numFmtId="0" fontId="24" fillId="0" borderId="9" xfId="9" quotePrefix="1" applyFont="1" applyBorder="1" applyAlignment="1">
      <alignment horizontal="center" wrapText="1"/>
    </xf>
    <xf numFmtId="0" fontId="23" fillId="0" borderId="9" xfId="9" quotePrefix="1" applyFont="1" applyFill="1" applyBorder="1" applyAlignment="1">
      <alignment horizontal="center" wrapText="1"/>
    </xf>
    <xf numFmtId="3" fontId="0" fillId="3" borderId="7" xfId="0" applyNumberFormat="1" applyFont="1" applyFill="1" applyBorder="1" applyAlignment="1">
      <alignment horizontal="center"/>
    </xf>
    <xf numFmtId="0" fontId="24" fillId="0" borderId="4" xfId="9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2" fillId="0" borderId="6" xfId="9" applyFont="1" applyBorder="1" applyAlignment="1">
      <alignment horizontal="centerContinuous"/>
    </xf>
    <xf numFmtId="0" fontId="22" fillId="0" borderId="7" xfId="9" applyFont="1" applyBorder="1" applyAlignment="1">
      <alignment horizontal="centerContinuous"/>
    </xf>
    <xf numFmtId="0" fontId="22" fillId="0" borderId="7" xfId="9" applyFont="1" applyBorder="1" applyAlignment="1">
      <alignment horizontal="center"/>
    </xf>
    <xf numFmtId="0" fontId="24" fillId="0" borderId="8" xfId="9" applyFont="1" applyBorder="1" applyAlignment="1">
      <alignment horizontal="center" vertical="top" wrapText="1"/>
    </xf>
    <xf numFmtId="0" fontId="24" fillId="0" borderId="15" xfId="9" applyFont="1" applyBorder="1" applyAlignment="1">
      <alignment horizontal="center" vertical="top" wrapText="1"/>
    </xf>
    <xf numFmtId="3" fontId="9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Continuous"/>
    </xf>
    <xf numFmtId="0" fontId="5" fillId="0" borderId="0" xfId="0" quotePrefix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3" fontId="5" fillId="0" borderId="0" xfId="0" quotePrefix="1" applyNumberFormat="1" applyFont="1" applyAlignment="1">
      <alignment horizontal="left"/>
    </xf>
    <xf numFmtId="0" fontId="0" fillId="0" borderId="4" xfId="0" applyFont="1" applyBorder="1"/>
    <xf numFmtId="0" fontId="0" fillId="0" borderId="6" xfId="0" applyFont="1" applyBorder="1"/>
    <xf numFmtId="0" fontId="8" fillId="6" borderId="0" xfId="4"/>
    <xf numFmtId="9" fontId="0" fillId="0" borderId="0" xfId="5" applyFont="1" applyAlignment="1">
      <alignment horizontal="left"/>
    </xf>
    <xf numFmtId="165" fontId="8" fillId="6" borderId="0" xfId="4" applyNumberFormat="1" applyAlignment="1">
      <alignment horizontal="left"/>
    </xf>
    <xf numFmtId="9" fontId="0" fillId="3" borderId="2" xfId="0" applyNumberFormat="1" applyFont="1" applyFill="1" applyBorder="1"/>
    <xf numFmtId="3" fontId="4" fillId="7" borderId="0" xfId="6" applyNumberFormat="1"/>
    <xf numFmtId="165" fontId="4" fillId="7" borderId="0" xfId="6" applyNumberFormat="1" applyAlignment="1">
      <alignment horizontal="left"/>
    </xf>
    <xf numFmtId="3" fontId="0" fillId="0" borderId="10" xfId="0" applyNumberFormat="1" applyFont="1" applyFill="1" applyBorder="1"/>
    <xf numFmtId="0" fontId="0" fillId="0" borderId="11" xfId="0" applyFont="1" applyBorder="1"/>
    <xf numFmtId="0" fontId="0" fillId="0" borderId="12" xfId="0" applyFont="1" applyBorder="1"/>
    <xf numFmtId="3" fontId="0" fillId="0" borderId="14" xfId="0" applyNumberFormat="1" applyFont="1" applyFill="1" applyBorder="1"/>
    <xf numFmtId="3" fontId="7" fillId="5" borderId="0" xfId="3" applyNumberFormat="1"/>
    <xf numFmtId="165" fontId="7" fillId="5" borderId="0" xfId="3" applyNumberFormat="1" applyAlignment="1">
      <alignment horizontal="center"/>
    </xf>
    <xf numFmtId="3" fontId="4" fillId="9" borderId="0" xfId="7" applyNumberFormat="1"/>
    <xf numFmtId="165" fontId="4" fillId="9" borderId="0" xfId="7" applyNumberFormat="1" applyAlignment="1">
      <alignment horizontal="center"/>
    </xf>
    <xf numFmtId="165" fontId="0" fillId="0" borderId="0" xfId="0" applyNumberFormat="1" applyFont="1"/>
    <xf numFmtId="165" fontId="6" fillId="4" borderId="11" xfId="2" applyNumberFormat="1" applyBorder="1"/>
    <xf numFmtId="10" fontId="0" fillId="0" borderId="0" xfId="5" applyNumberFormat="1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167" fontId="8" fillId="6" borderId="0" xfId="4" applyNumberFormat="1" applyAlignment="1">
      <alignment horizontal="center"/>
    </xf>
    <xf numFmtId="165" fontId="0" fillId="3" borderId="3" xfId="0" applyNumberFormat="1" applyFont="1" applyFill="1" applyBorder="1"/>
    <xf numFmtId="165" fontId="0" fillId="3" borderId="2" xfId="0" applyNumberFormat="1" applyFont="1" applyFill="1" applyBorder="1"/>
    <xf numFmtId="0" fontId="4" fillId="7" borderId="0" xfId="6" applyAlignment="1">
      <alignment horizontal="center"/>
    </xf>
    <xf numFmtId="167" fontId="4" fillId="7" borderId="0" xfId="6" applyNumberFormat="1" applyAlignment="1">
      <alignment horizontal="center"/>
    </xf>
    <xf numFmtId="167" fontId="0" fillId="0" borderId="0" xfId="0" applyNumberFormat="1" applyFont="1" applyAlignment="1">
      <alignment horizontal="center"/>
    </xf>
    <xf numFmtId="167" fontId="6" fillId="4" borderId="0" xfId="2" applyNumberFormat="1" applyAlignment="1">
      <alignment horizontal="center"/>
    </xf>
    <xf numFmtId="3" fontId="0" fillId="0" borderId="0" xfId="0" quotePrefix="1" applyNumberFormat="1" applyFont="1"/>
    <xf numFmtId="4" fontId="0" fillId="3" borderId="3" xfId="0" applyNumberFormat="1" applyFont="1" applyFill="1" applyBorder="1"/>
    <xf numFmtId="168" fontId="12" fillId="0" borderId="0" xfId="0" applyNumberFormat="1" applyFont="1"/>
    <xf numFmtId="4" fontId="0" fillId="3" borderId="2" xfId="0" applyNumberFormat="1" applyFont="1" applyFill="1" applyBorder="1"/>
    <xf numFmtId="4" fontId="5" fillId="0" borderId="2" xfId="0" quotePrefix="1" applyNumberFormat="1" applyFont="1" applyBorder="1" applyAlignment="1">
      <alignment horizontal="center"/>
    </xf>
    <xf numFmtId="168" fontId="0" fillId="0" borderId="0" xfId="0" applyNumberFormat="1"/>
    <xf numFmtId="0" fontId="0" fillId="7" borderId="0" xfId="6" applyFont="1" applyAlignment="1">
      <alignment horizontal="center"/>
    </xf>
    <xf numFmtId="168" fontId="0" fillId="0" borderId="0" xfId="0" applyNumberFormat="1" applyFont="1"/>
    <xf numFmtId="168" fontId="0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10" borderId="0" xfId="8" applyNumberFormat="1" applyAlignment="1">
      <alignment horizontal="center"/>
    </xf>
    <xf numFmtId="3" fontId="0" fillId="0" borderId="15" xfId="0" applyNumberFormat="1" applyFont="1" applyBorder="1"/>
    <xf numFmtId="3" fontId="1" fillId="0" borderId="0" xfId="0" applyNumberFormat="1" applyFont="1" applyAlignment="1">
      <alignment horizontal="right"/>
    </xf>
    <xf numFmtId="3" fontId="0" fillId="0" borderId="9" xfId="0" applyNumberFormat="1" applyFont="1" applyBorder="1"/>
    <xf numFmtId="9" fontId="0" fillId="3" borderId="2" xfId="5" applyFont="1" applyFill="1" applyBorder="1"/>
    <xf numFmtId="10" fontId="0" fillId="0" borderId="5" xfId="5" applyNumberFormat="1" applyFont="1" applyBorder="1"/>
    <xf numFmtId="10" fontId="0" fillId="3" borderId="6" xfId="5" applyNumberFormat="1" applyFont="1" applyFill="1" applyBorder="1"/>
    <xf numFmtId="10" fontId="0" fillId="0" borderId="0" xfId="5" applyNumberFormat="1" applyFont="1"/>
    <xf numFmtId="10" fontId="0" fillId="0" borderId="0" xfId="5" applyNumberFormat="1" applyFont="1" applyBorder="1"/>
    <xf numFmtId="10" fontId="0" fillId="3" borderId="3" xfId="5" applyNumberFormat="1" applyFont="1" applyFill="1" applyBorder="1"/>
    <xf numFmtId="3" fontId="16" fillId="0" borderId="11" xfId="0" applyNumberFormat="1" applyFont="1" applyBorder="1"/>
    <xf numFmtId="10" fontId="0" fillId="0" borderId="1" xfId="5" applyNumberFormat="1" applyFont="1" applyBorder="1"/>
    <xf numFmtId="10" fontId="0" fillId="3" borderId="2" xfId="5" applyNumberFormat="1" applyFont="1" applyFill="1" applyBorder="1"/>
    <xf numFmtId="3" fontId="4" fillId="9" borderId="0" xfId="7" applyNumberFormat="1" applyAlignment="1">
      <alignment horizontal="center"/>
    </xf>
    <xf numFmtId="3" fontId="0" fillId="2" borderId="0" xfId="0" applyNumberFormat="1" applyFont="1" applyFill="1" applyBorder="1"/>
    <xf numFmtId="3" fontId="0" fillId="0" borderId="7" xfId="0" applyNumberFormat="1" applyFont="1" applyBorder="1"/>
    <xf numFmtId="1" fontId="0" fillId="3" borderId="5" xfId="0" applyNumberFormat="1" applyFont="1" applyFill="1" applyBorder="1"/>
    <xf numFmtId="1" fontId="0" fillId="3" borderId="6" xfId="0" applyNumberFormat="1" applyFont="1" applyFill="1" applyBorder="1"/>
    <xf numFmtId="0" fontId="0" fillId="3" borderId="1" xfId="0" applyFont="1" applyFill="1" applyBorder="1"/>
    <xf numFmtId="3" fontId="0" fillId="3" borderId="2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4" fillId="9" borderId="4" xfId="7" applyNumberFormat="1" applyBorder="1"/>
    <xf numFmtId="3" fontId="4" fillId="9" borderId="5" xfId="7" applyNumberFormat="1" applyBorder="1"/>
    <xf numFmtId="3" fontId="4" fillId="9" borderId="6" xfId="7" applyNumberFormat="1" applyBorder="1"/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/>
    </xf>
    <xf numFmtId="3" fontId="0" fillId="3" borderId="1" xfId="0" applyNumberFormat="1" applyFont="1" applyFill="1" applyBorder="1" applyAlignment="1">
      <alignment horizontal="center"/>
    </xf>
    <xf numFmtId="4" fontId="0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3" borderId="6" xfId="0" applyNumberFormat="1" applyFill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4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0" fillId="0" borderId="1" xfId="0" applyNumberFormat="1" applyFont="1" applyBorder="1"/>
    <xf numFmtId="168" fontId="0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5" xfId="0" quotePrefix="1" applyNumberFormat="1" applyFont="1" applyBorder="1" applyAlignment="1">
      <alignment horizontal="center"/>
    </xf>
    <xf numFmtId="3" fontId="8" fillId="6" borderId="6" xfId="4" applyNumberFormat="1" applyBorder="1"/>
    <xf numFmtId="3" fontId="0" fillId="9" borderId="4" xfId="7" applyNumberFormat="1" applyFon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3" fontId="25" fillId="0" borderId="0" xfId="0" applyNumberFormat="1" applyFont="1"/>
    <xf numFmtId="0" fontId="9" fillId="0" borderId="0" xfId="0" applyFont="1" applyAlignment="1">
      <alignment horizontal="center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8" fillId="6" borderId="15" xfId="4" applyBorder="1" applyAlignment="1">
      <alignment horizontal="center"/>
    </xf>
    <xf numFmtId="3" fontId="1" fillId="0" borderId="14" xfId="0" applyNumberFormat="1" applyFont="1" applyBorder="1"/>
    <xf numFmtId="3" fontId="1" fillId="0" borderId="2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8" fillId="6" borderId="9" xfId="4" applyBorder="1" applyAlignment="1">
      <alignment horizontal="center"/>
    </xf>
    <xf numFmtId="3" fontId="0" fillId="0" borderId="8" xfId="0" applyNumberFormat="1" applyFont="1" applyFill="1" applyBorder="1"/>
    <xf numFmtId="10" fontId="0" fillId="0" borderId="3" xfId="5" applyNumberFormat="1" applyFont="1" applyFill="1" applyBorder="1"/>
    <xf numFmtId="2" fontId="8" fillId="6" borderId="8" xfId="4" applyNumberFormat="1" applyBorder="1"/>
    <xf numFmtId="3" fontId="0" fillId="0" borderId="9" xfId="0" applyNumberFormat="1" applyFont="1" applyFill="1" applyBorder="1"/>
    <xf numFmtId="10" fontId="0" fillId="0" borderId="2" xfId="5" applyNumberFormat="1" applyFont="1" applyFill="1" applyBorder="1"/>
    <xf numFmtId="2" fontId="8" fillId="6" borderId="9" xfId="4" applyNumberFormat="1" applyBorder="1"/>
    <xf numFmtId="2" fontId="8" fillId="6" borderId="0" xfId="4" applyNumberFormat="1"/>
    <xf numFmtId="3" fontId="16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9" fontId="0" fillId="3" borderId="8" xfId="5" applyFont="1" applyFill="1" applyBorder="1"/>
    <xf numFmtId="0" fontId="4" fillId="7" borderId="15" xfId="6" applyBorder="1" applyAlignment="1">
      <alignment horizontal="center"/>
    </xf>
    <xf numFmtId="0" fontId="4" fillId="7" borderId="9" xfId="6" applyBorder="1" applyAlignment="1">
      <alignment horizontal="center"/>
    </xf>
    <xf numFmtId="9" fontId="0" fillId="3" borderId="9" xfId="5" applyFont="1" applyFill="1" applyBorder="1"/>
    <xf numFmtId="3" fontId="0" fillId="0" borderId="3" xfId="0" applyNumberFormat="1" applyFont="1" applyFill="1" applyBorder="1"/>
    <xf numFmtId="9" fontId="0" fillId="0" borderId="8" xfId="5" applyFont="1" applyFill="1" applyBorder="1"/>
    <xf numFmtId="2" fontId="4" fillId="7" borderId="8" xfId="6" applyNumberFormat="1" applyBorder="1"/>
    <xf numFmtId="3" fontId="16" fillId="0" borderId="0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9" fontId="0" fillId="0" borderId="9" xfId="5" applyFont="1" applyFill="1" applyBorder="1"/>
    <xf numFmtId="2" fontId="4" fillId="7" borderId="9" xfId="6" applyNumberFormat="1" applyBorder="1"/>
    <xf numFmtId="2" fontId="4" fillId="7" borderId="0" xfId="6" applyNumberFormat="1"/>
    <xf numFmtId="4" fontId="8" fillId="6" borderId="0" xfId="4" applyNumberFormat="1"/>
    <xf numFmtId="4" fontId="4" fillId="7" borderId="0" xfId="6" applyNumberFormat="1"/>
    <xf numFmtId="4" fontId="0" fillId="0" borderId="0" xfId="0" applyNumberFormat="1" applyFont="1"/>
    <xf numFmtId="4" fontId="6" fillId="4" borderId="11" xfId="2" applyNumberFormat="1" applyBorder="1"/>
    <xf numFmtId="3" fontId="9" fillId="0" borderId="11" xfId="0" quotePrefix="1" applyNumberFormat="1" applyFont="1" applyBorder="1" applyAlignment="1">
      <alignment horizontal="center"/>
    </xf>
    <xf numFmtId="3" fontId="9" fillId="0" borderId="11" xfId="0" applyNumberFormat="1" applyFont="1" applyBorder="1"/>
  </cellXfs>
  <cellStyles count="10">
    <cellStyle name="40% - Accent1" xfId="6" builtinId="31"/>
    <cellStyle name="40% - Accent2" xfId="7" builtinId="35"/>
    <cellStyle name="40% - Accent4" xfId="8" builtinId="43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9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114" t="s">
        <v>477</v>
      </c>
      <c r="B5" s="114"/>
      <c r="C5" s="114"/>
    </row>
    <row r="6" spans="1:4" ht="21" customHeight="1" x14ac:dyDescent="0.25">
      <c r="A6" s="114"/>
      <c r="B6" s="114"/>
      <c r="C6" s="114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Basic MCT Ratio Calculation</v>
      </c>
      <c r="D10" s="83"/>
    </row>
    <row r="11" spans="1:4" x14ac:dyDescent="0.25">
      <c r="A11" s="10">
        <v>2</v>
      </c>
      <c r="B11" s="11" t="s">
        <v>13</v>
      </c>
      <c r="C11" s="2" t="str">
        <f>'Problem 2'!C3</f>
        <v>Capital Available - TOTAL</v>
      </c>
    </row>
    <row r="12" spans="1:4" x14ac:dyDescent="0.25">
      <c r="A12" s="10">
        <v>3</v>
      </c>
      <c r="B12" s="11" t="s">
        <v>14</v>
      </c>
      <c r="C12" s="2" t="str">
        <f>'Problem 3'!C3</f>
        <v>Capital Available - Deduction for Unregistered Reinsurance</v>
      </c>
    </row>
    <row r="13" spans="1:4" x14ac:dyDescent="0.25">
      <c r="A13" s="10">
        <v>4</v>
      </c>
      <c r="B13" s="11" t="s">
        <v>15</v>
      </c>
      <c r="C13" s="2" t="str">
        <f>'Problem 4'!C3</f>
        <v>Capital Required - Insurance Risk - TOTAL</v>
      </c>
    </row>
    <row r="14" spans="1:4" x14ac:dyDescent="0.25">
      <c r="A14" s="10">
        <v>5</v>
      </c>
      <c r="B14" s="11" t="s">
        <v>269</v>
      </c>
      <c r="C14" s="2" t="str">
        <f>'Problem 5'!C3</f>
        <v>Capital Required - Insurance Risk (Earthquake Component)</v>
      </c>
    </row>
    <row r="15" spans="1:4" x14ac:dyDescent="0.25">
      <c r="A15" s="10">
        <v>6</v>
      </c>
      <c r="B15" s="11" t="s">
        <v>270</v>
      </c>
      <c r="C15" s="2" t="str">
        <f>'Problem 6'!C3</f>
        <v>Capital Required - Market Risk - TOTAL</v>
      </c>
    </row>
    <row r="16" spans="1:4" x14ac:dyDescent="0.25">
      <c r="A16" s="10">
        <v>7</v>
      </c>
      <c r="B16" s="11" t="s">
        <v>339</v>
      </c>
      <c r="C16" s="2" t="str">
        <f>'Problem 7'!C3</f>
        <v>Capital Required - Market Risk - Interest Rates</v>
      </c>
    </row>
    <row r="17" spans="1:3" x14ac:dyDescent="0.25">
      <c r="A17" s="10">
        <v>8</v>
      </c>
      <c r="B17" s="11" t="s">
        <v>340</v>
      </c>
      <c r="C17" s="201" t="str">
        <f>'Problem 8'!C3</f>
        <v>Capital Required - Market Risk - Interest Rates (Harder version)</v>
      </c>
    </row>
    <row r="18" spans="1:3" x14ac:dyDescent="0.25">
      <c r="A18" s="10">
        <v>9</v>
      </c>
      <c r="B18" s="11" t="s">
        <v>388</v>
      </c>
      <c r="C18" s="201" t="str">
        <f>'Problem 9'!C3</f>
        <v>Capital Required - Credit Risk - TOTAL</v>
      </c>
    </row>
    <row r="19" spans="1:3" x14ac:dyDescent="0.25">
      <c r="A19" s="10">
        <v>10</v>
      </c>
      <c r="B19" s="11" t="s">
        <v>441</v>
      </c>
      <c r="C19" s="201" t="str">
        <f>'Problem 10'!C3</f>
        <v>Capital Required - Operational Risk - TOTAL</v>
      </c>
    </row>
    <row r="20" spans="1:3" x14ac:dyDescent="0.25">
      <c r="A20" s="4"/>
      <c r="B20" s="11"/>
    </row>
    <row r="21" spans="1:3" x14ac:dyDescent="0.25">
      <c r="A21" s="4"/>
      <c r="B21" s="11"/>
    </row>
    <row r="22" spans="1:3" x14ac:dyDescent="0.25">
      <c r="A22" s="4"/>
      <c r="B22" s="11"/>
    </row>
    <row r="23" spans="1:3" x14ac:dyDescent="0.25">
      <c r="A23" s="4"/>
      <c r="B23" s="11"/>
    </row>
    <row r="24" spans="1:3" x14ac:dyDescent="0.25">
      <c r="A24" s="4"/>
      <c r="B24" s="11"/>
    </row>
    <row r="25" spans="1:3" x14ac:dyDescent="0.25">
      <c r="A25" s="4"/>
      <c r="B25" s="11"/>
    </row>
    <row r="26" spans="1:3" x14ac:dyDescent="0.25">
      <c r="A26" s="4"/>
      <c r="B26" s="11"/>
    </row>
    <row r="27" spans="1:3" x14ac:dyDescent="0.25">
      <c r="A27" s="4"/>
      <c r="B27" s="11"/>
    </row>
    <row r="28" spans="1:3" x14ac:dyDescent="0.25">
      <c r="A28" s="4"/>
      <c r="B28" s="11"/>
    </row>
    <row r="29" spans="1:3" x14ac:dyDescent="0.25">
      <c r="A29" s="4"/>
      <c r="B29" s="11"/>
    </row>
    <row r="30" spans="1:3" x14ac:dyDescent="0.25">
      <c r="A30" s="4"/>
      <c r="B30" s="11"/>
    </row>
    <row r="31" spans="1:3" x14ac:dyDescent="0.25">
      <c r="A31" s="4"/>
      <c r="B31" s="11"/>
    </row>
    <row r="32" spans="1:3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:A17" location="'Problem 6'!A1" display="'Problem 6'!A1"/>
    <hyperlink ref="A16" location="'Problem 7'!A1" display="'Problem 7'!A1"/>
    <hyperlink ref="A17" location="'Problem 8'!A1" display="'Problem 8'!A1"/>
    <hyperlink ref="A18" location="'Problem 9'!A1" display="'Problem 9'!A1"/>
    <hyperlink ref="A15" location="'Problem 6'!A1" display="'Problem 6'!A1"/>
    <hyperlink ref="A19" location="'Problem 10'!A1" display="'Problem 10'!A1"/>
  </hyperlink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442</v>
      </c>
      <c r="N3" s="18" t="s">
        <v>8</v>
      </c>
      <c r="O3" s="41" t="s">
        <v>27</v>
      </c>
      <c r="P3" s="6" t="s">
        <v>443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444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46" t="s">
        <v>445</v>
      </c>
      <c r="Q5" s="246" t="s">
        <v>10</v>
      </c>
      <c r="R5" s="246" t="s">
        <v>277</v>
      </c>
      <c r="S5" s="246" t="s">
        <v>146</v>
      </c>
      <c r="T5" s="118" t="s">
        <v>446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6" t="s">
        <v>447</v>
      </c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47"/>
      <c r="Q7" s="248"/>
      <c r="R7" s="248"/>
      <c r="S7" s="248"/>
      <c r="T7" s="248"/>
      <c r="U7" s="249"/>
      <c r="V7" s="250"/>
      <c r="W7" s="251" t="s">
        <v>448</v>
      </c>
      <c r="X7" s="252" t="s">
        <v>445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7"/>
      <c r="D8" s="248"/>
      <c r="E8" s="248"/>
      <c r="F8" s="248"/>
      <c r="G8" s="248"/>
      <c r="H8" s="249"/>
      <c r="I8" s="250"/>
      <c r="J8" s="251" t="s">
        <v>448</v>
      </c>
      <c r="K8" s="9"/>
      <c r="L8" s="9"/>
      <c r="M8" s="9"/>
      <c r="N8" s="8" t="s">
        <v>8</v>
      </c>
      <c r="O8" s="7"/>
      <c r="P8" s="253" t="s">
        <v>449</v>
      </c>
      <c r="Q8" s="93"/>
      <c r="R8" s="93"/>
      <c r="S8" s="93"/>
      <c r="T8" s="93"/>
      <c r="U8" s="254"/>
      <c r="V8" s="255" t="s">
        <v>277</v>
      </c>
      <c r="W8" s="229" t="s">
        <v>450</v>
      </c>
      <c r="X8" s="256" t="s">
        <v>451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53" t="s">
        <v>449</v>
      </c>
      <c r="D9" s="93"/>
      <c r="E9" s="93"/>
      <c r="F9" s="93"/>
      <c r="G9" s="93"/>
      <c r="H9" s="254"/>
      <c r="I9" s="255" t="s">
        <v>277</v>
      </c>
      <c r="J9" s="229" t="s">
        <v>450</v>
      </c>
      <c r="K9" s="9"/>
      <c r="L9" s="9"/>
      <c r="M9" s="9"/>
      <c r="N9" s="8" t="s">
        <v>8</v>
      </c>
      <c r="O9" s="7"/>
      <c r="P9" s="24" t="str">
        <f>C10</f>
        <v>AAA long-term obligations (1 - 5 years maturity)</v>
      </c>
      <c r="Q9" s="25"/>
      <c r="R9" s="25"/>
      <c r="S9" s="25"/>
      <c r="T9" s="25"/>
      <c r="U9" s="55"/>
      <c r="V9" s="257">
        <f>I10</f>
        <v>9900</v>
      </c>
      <c r="W9" s="258">
        <f t="shared" ref="W9:W14" si="0">J10</f>
        <v>5.0000000000000001E-3</v>
      </c>
      <c r="X9" s="259">
        <f>V9*W9</f>
        <v>49.5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452</v>
      </c>
      <c r="D10" s="25"/>
      <c r="E10" s="25"/>
      <c r="F10" s="25"/>
      <c r="G10" s="25"/>
      <c r="H10" s="55"/>
      <c r="I10" s="96">
        <v>9900</v>
      </c>
      <c r="J10" s="196">
        <v>5.0000000000000001E-3</v>
      </c>
      <c r="K10" s="9"/>
      <c r="L10" s="9"/>
      <c r="M10" s="9"/>
      <c r="N10" s="8" t="s">
        <v>8</v>
      </c>
      <c r="O10" s="7"/>
      <c r="P10" s="24" t="str">
        <f t="shared" ref="P10:P14" si="1">C11</f>
        <v>BBB long-term obligations (more than 5 years maturity)</v>
      </c>
      <c r="Q10" s="25"/>
      <c r="R10" s="25"/>
      <c r="S10" s="25"/>
      <c r="T10" s="25"/>
      <c r="U10" s="55"/>
      <c r="V10" s="257">
        <f t="shared" ref="V10:V14" si="2">I11</f>
        <v>1300</v>
      </c>
      <c r="W10" s="258">
        <f t="shared" si="0"/>
        <v>4.7500000000000001E-2</v>
      </c>
      <c r="X10" s="259">
        <f t="shared" ref="X10:X14" si="3">V10*W10</f>
        <v>61.75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453</v>
      </c>
      <c r="D11" s="25"/>
      <c r="E11" s="25"/>
      <c r="F11" s="25"/>
      <c r="G11" s="25"/>
      <c r="H11" s="55"/>
      <c r="I11" s="96">
        <v>1300</v>
      </c>
      <c r="J11" s="196">
        <v>4.7500000000000001E-2</v>
      </c>
      <c r="K11" s="9"/>
      <c r="L11" s="9"/>
      <c r="M11" s="9"/>
      <c r="N11" s="8" t="s">
        <v>8</v>
      </c>
      <c r="O11" s="7"/>
      <c r="P11" s="24" t="str">
        <f t="shared" si="1"/>
        <v>A-2, F2, P-2, R-2 or equivalent short-term obligations</v>
      </c>
      <c r="Q11" s="25"/>
      <c r="R11" s="25"/>
      <c r="S11" s="25"/>
      <c r="T11" s="25"/>
      <c r="U11" s="55"/>
      <c r="V11" s="257">
        <f t="shared" si="2"/>
        <v>4800</v>
      </c>
      <c r="W11" s="258">
        <f t="shared" si="0"/>
        <v>5.0000000000000001E-3</v>
      </c>
      <c r="X11" s="259">
        <f t="shared" si="3"/>
        <v>24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454</v>
      </c>
      <c r="D12" s="25"/>
      <c r="E12" s="25"/>
      <c r="F12" s="25"/>
      <c r="G12" s="25"/>
      <c r="H12" s="55"/>
      <c r="I12" s="96">
        <v>4800</v>
      </c>
      <c r="J12" s="196">
        <v>5.0000000000000001E-3</v>
      </c>
      <c r="K12" s="9"/>
      <c r="L12" s="9"/>
      <c r="M12" s="9"/>
      <c r="N12" s="8" t="s">
        <v>8</v>
      </c>
      <c r="O12" s="7"/>
      <c r="P12" s="26" t="str">
        <f t="shared" si="1"/>
        <v>Unrated short-term obligations</v>
      </c>
      <c r="Q12" s="27"/>
      <c r="R12" s="27"/>
      <c r="S12" s="27"/>
      <c r="T12" s="27"/>
      <c r="U12" s="30"/>
      <c r="V12" s="260">
        <f t="shared" si="2"/>
        <v>1000</v>
      </c>
      <c r="W12" s="261">
        <f t="shared" si="0"/>
        <v>0.06</v>
      </c>
      <c r="X12" s="262">
        <f t="shared" si="3"/>
        <v>60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455</v>
      </c>
      <c r="D13" s="27"/>
      <c r="E13" s="27"/>
      <c r="F13" s="27"/>
      <c r="G13" s="27"/>
      <c r="H13" s="30"/>
      <c r="I13" s="94">
        <v>1000</v>
      </c>
      <c r="J13" s="199">
        <v>0.06</v>
      </c>
      <c r="K13" s="9"/>
      <c r="L13" s="9"/>
      <c r="M13" s="9"/>
      <c r="N13" s="8" t="s">
        <v>8</v>
      </c>
      <c r="O13" s="7"/>
      <c r="P13" s="24" t="str">
        <f t="shared" si="1"/>
        <v>Cash</v>
      </c>
      <c r="Q13" s="25"/>
      <c r="R13" s="25"/>
      <c r="S13" s="25"/>
      <c r="T13" s="25"/>
      <c r="U13" s="55"/>
      <c r="V13" s="257">
        <f t="shared" si="2"/>
        <v>5400</v>
      </c>
      <c r="W13" s="258">
        <f t="shared" si="0"/>
        <v>0</v>
      </c>
      <c r="X13" s="259">
        <f t="shared" si="3"/>
        <v>0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456</v>
      </c>
      <c r="D14" s="25"/>
      <c r="E14" s="25"/>
      <c r="F14" s="25"/>
      <c r="G14" s="25"/>
      <c r="H14" s="55"/>
      <c r="I14" s="96">
        <v>5400</v>
      </c>
      <c r="J14" s="196">
        <v>0</v>
      </c>
      <c r="K14" s="9"/>
      <c r="L14" s="9"/>
      <c r="M14" s="9"/>
      <c r="N14" s="8" t="s">
        <v>8</v>
      </c>
      <c r="O14" s="7"/>
      <c r="P14" s="26" t="str">
        <f t="shared" si="1"/>
        <v>Outstanding receivables &lt; 60 days overdue from agent</v>
      </c>
      <c r="Q14" s="27"/>
      <c r="R14" s="27"/>
      <c r="S14" s="27"/>
      <c r="T14" s="27"/>
      <c r="U14" s="30"/>
      <c r="V14" s="260">
        <f t="shared" si="2"/>
        <v>2500</v>
      </c>
      <c r="W14" s="261">
        <f t="shared" si="0"/>
        <v>0.05</v>
      </c>
      <c r="X14" s="262">
        <f t="shared" si="3"/>
        <v>125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457</v>
      </c>
      <c r="D15" s="27"/>
      <c r="E15" s="27"/>
      <c r="F15" s="27"/>
      <c r="G15" s="27"/>
      <c r="H15" s="30"/>
      <c r="I15" s="94">
        <v>2500</v>
      </c>
      <c r="J15" s="199">
        <v>0.05</v>
      </c>
      <c r="K15" s="7"/>
      <c r="L15" s="7"/>
      <c r="M15" s="9"/>
      <c r="N15" s="8" t="s">
        <v>8</v>
      </c>
      <c r="O15" s="7"/>
      <c r="X15" s="263">
        <f>SUM(X9:X14)</f>
        <v>320.25</v>
      </c>
      <c r="Y15" s="54" t="s">
        <v>41</v>
      </c>
      <c r="Z15" s="143" t="s">
        <v>323</v>
      </c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6" t="s">
        <v>458</v>
      </c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6" t="s">
        <v>144</v>
      </c>
      <c r="P17" s="6" t="s">
        <v>459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247"/>
      <c r="D18" s="248"/>
      <c r="E18" s="248"/>
      <c r="F18" s="248"/>
      <c r="G18" s="250"/>
      <c r="H18" s="251" t="s">
        <v>460</v>
      </c>
      <c r="I18" s="250"/>
      <c r="J18" s="251" t="s">
        <v>448</v>
      </c>
      <c r="K18" s="7"/>
      <c r="L18" s="7"/>
      <c r="M18" s="9"/>
      <c r="N18" s="8" t="s">
        <v>8</v>
      </c>
      <c r="O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53" t="s">
        <v>449</v>
      </c>
      <c r="D19" s="93"/>
      <c r="E19" s="93"/>
      <c r="F19" s="93"/>
      <c r="G19" s="264" t="s">
        <v>461</v>
      </c>
      <c r="H19" s="229" t="s">
        <v>462</v>
      </c>
      <c r="I19" s="264" t="s">
        <v>463</v>
      </c>
      <c r="J19" s="229" t="s">
        <v>450</v>
      </c>
      <c r="K19" s="7"/>
      <c r="L19" s="7"/>
      <c r="M19" s="9"/>
      <c r="N19" s="8" t="s">
        <v>8</v>
      </c>
      <c r="O19" s="7"/>
      <c r="P19" s="246" t="s">
        <v>445</v>
      </c>
      <c r="Q19" s="246" t="s">
        <v>10</v>
      </c>
      <c r="R19" s="246" t="s">
        <v>35</v>
      </c>
      <c r="S19" s="246" t="s">
        <v>461</v>
      </c>
      <c r="T19" s="118" t="s">
        <v>11</v>
      </c>
      <c r="U19" s="246" t="s">
        <v>464</v>
      </c>
      <c r="V19" s="246" t="s">
        <v>37</v>
      </c>
      <c r="W19" s="246" t="s">
        <v>146</v>
      </c>
      <c r="X19" s="246" t="s">
        <v>463</v>
      </c>
      <c r="Y19" s="246" t="s">
        <v>146</v>
      </c>
      <c r="Z19" s="265" t="s">
        <v>446</v>
      </c>
      <c r="AA19" s="7"/>
      <c r="AB19" s="8" t="s">
        <v>8</v>
      </c>
      <c r="AC19" s="9"/>
    </row>
    <row r="20" spans="3:29" ht="15" customHeight="1" x14ac:dyDescent="0.25">
      <c r="C20" s="24" t="s">
        <v>465</v>
      </c>
      <c r="D20" s="25"/>
      <c r="E20" s="25"/>
      <c r="F20" s="25"/>
      <c r="G20" s="96">
        <v>5000</v>
      </c>
      <c r="H20" s="28">
        <v>500</v>
      </c>
      <c r="I20" s="266">
        <v>1</v>
      </c>
      <c r="J20" s="196">
        <v>0.02</v>
      </c>
      <c r="K20" s="7"/>
      <c r="L20" s="7"/>
      <c r="M20" s="9"/>
      <c r="N20" s="8" t="s">
        <v>8</v>
      </c>
      <c r="O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466</v>
      </c>
      <c r="D21" s="25"/>
      <c r="E21" s="25"/>
      <c r="F21" s="25"/>
      <c r="G21" s="96">
        <v>1600</v>
      </c>
      <c r="H21" s="28">
        <v>320</v>
      </c>
      <c r="I21" s="266">
        <v>1</v>
      </c>
      <c r="J21" s="196">
        <v>4.7500000000000001E-2</v>
      </c>
      <c r="K21" s="7"/>
      <c r="L21" s="7"/>
      <c r="M21" s="9"/>
      <c r="N21" s="8" t="s">
        <v>8</v>
      </c>
      <c r="O21" s="7"/>
      <c r="P21" s="247"/>
      <c r="Q21" s="248"/>
      <c r="R21" s="248"/>
      <c r="S21" s="248"/>
      <c r="T21" s="250"/>
      <c r="U21" s="251" t="s">
        <v>460</v>
      </c>
      <c r="V21" s="250"/>
      <c r="W21" s="251" t="s">
        <v>448</v>
      </c>
      <c r="X21" s="267" t="s">
        <v>445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467</v>
      </c>
      <c r="D22" s="25"/>
      <c r="E22" s="25"/>
      <c r="F22" s="25"/>
      <c r="G22" s="96">
        <v>1500</v>
      </c>
      <c r="H22" s="28">
        <v>450</v>
      </c>
      <c r="I22" s="266">
        <v>0.5</v>
      </c>
      <c r="J22" s="196">
        <v>5.0000000000000001E-3</v>
      </c>
      <c r="K22" s="7"/>
      <c r="L22" s="7"/>
      <c r="M22" s="9"/>
      <c r="N22" s="8" t="s">
        <v>8</v>
      </c>
      <c r="O22" s="7"/>
      <c r="P22" s="253" t="s">
        <v>449</v>
      </c>
      <c r="Q22" s="93"/>
      <c r="R22" s="93"/>
      <c r="S22" s="93"/>
      <c r="T22" s="264" t="s">
        <v>461</v>
      </c>
      <c r="U22" s="229" t="s">
        <v>462</v>
      </c>
      <c r="V22" s="264" t="s">
        <v>463</v>
      </c>
      <c r="W22" s="229" t="s">
        <v>450</v>
      </c>
      <c r="X22" s="268" t="s">
        <v>451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468</v>
      </c>
      <c r="D23" s="27"/>
      <c r="E23" s="27"/>
      <c r="F23" s="27"/>
      <c r="G23" s="94">
        <v>6500</v>
      </c>
      <c r="H23" s="29">
        <v>1950</v>
      </c>
      <c r="I23" s="269">
        <v>0.2</v>
      </c>
      <c r="J23" s="199">
        <v>0.06</v>
      </c>
      <c r="K23" s="7"/>
      <c r="L23" s="7"/>
      <c r="M23" s="9"/>
      <c r="N23" s="8" t="s">
        <v>8</v>
      </c>
      <c r="O23" s="7"/>
      <c r="P23" s="24" t="s">
        <v>465</v>
      </c>
      <c r="Q23" s="25"/>
      <c r="R23" s="25"/>
      <c r="S23" s="25"/>
      <c r="T23" s="257">
        <f>G20</f>
        <v>5000</v>
      </c>
      <c r="U23" s="270">
        <f t="shared" ref="U23:W23" si="4">H20</f>
        <v>500</v>
      </c>
      <c r="V23" s="271">
        <f t="shared" si="4"/>
        <v>1</v>
      </c>
      <c r="W23" s="258">
        <f t="shared" si="4"/>
        <v>0.02</v>
      </c>
      <c r="X23" s="272">
        <f>(T23-U23)*V23*W23</f>
        <v>90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24" t="s">
        <v>466</v>
      </c>
      <c r="Q24" s="25"/>
      <c r="R24" s="25"/>
      <c r="S24" s="25"/>
      <c r="T24" s="257">
        <f t="shared" ref="T24:W26" si="5">G21</f>
        <v>1600</v>
      </c>
      <c r="U24" s="270">
        <f t="shared" si="5"/>
        <v>320</v>
      </c>
      <c r="V24" s="271">
        <f t="shared" si="5"/>
        <v>1</v>
      </c>
      <c r="W24" s="258">
        <f t="shared" si="5"/>
        <v>4.7500000000000001E-2</v>
      </c>
      <c r="X24" s="272">
        <f t="shared" ref="X24:X26" si="6">(T24-U24)*V24*W24</f>
        <v>60.8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273" t="s">
        <v>461</v>
      </c>
      <c r="D25" s="18" t="s">
        <v>10</v>
      </c>
      <c r="E25" s="6" t="s">
        <v>469</v>
      </c>
      <c r="J25" s="7"/>
      <c r="K25" s="7"/>
      <c r="L25" s="7"/>
      <c r="M25" s="9"/>
      <c r="N25" s="8" t="s">
        <v>8</v>
      </c>
      <c r="O25" s="7"/>
      <c r="P25" s="24" t="s">
        <v>467</v>
      </c>
      <c r="Q25" s="25"/>
      <c r="R25" s="25"/>
      <c r="S25" s="25"/>
      <c r="T25" s="257">
        <f t="shared" si="5"/>
        <v>1500</v>
      </c>
      <c r="U25" s="270">
        <f t="shared" si="5"/>
        <v>450</v>
      </c>
      <c r="V25" s="271">
        <f t="shared" si="5"/>
        <v>0.5</v>
      </c>
      <c r="W25" s="258">
        <f t="shared" si="5"/>
        <v>5.0000000000000001E-3</v>
      </c>
      <c r="X25" s="272">
        <f t="shared" si="6"/>
        <v>2.625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273" t="s">
        <v>463</v>
      </c>
      <c r="D26" s="18" t="s">
        <v>10</v>
      </c>
      <c r="E26" s="6" t="s">
        <v>470</v>
      </c>
      <c r="J26" s="7"/>
      <c r="K26" s="7"/>
      <c r="L26" s="7"/>
      <c r="M26" s="9"/>
      <c r="N26" s="8" t="s">
        <v>8</v>
      </c>
      <c r="O26" s="7"/>
      <c r="P26" s="26" t="s">
        <v>468</v>
      </c>
      <c r="Q26" s="27"/>
      <c r="R26" s="27"/>
      <c r="S26" s="27"/>
      <c r="T26" s="260">
        <f t="shared" si="5"/>
        <v>6500</v>
      </c>
      <c r="U26" s="274">
        <f t="shared" si="5"/>
        <v>1950</v>
      </c>
      <c r="V26" s="275">
        <f t="shared" si="5"/>
        <v>0.2</v>
      </c>
      <c r="W26" s="261">
        <f t="shared" si="5"/>
        <v>0.06</v>
      </c>
      <c r="X26" s="276">
        <f t="shared" si="6"/>
        <v>54.6</v>
      </c>
      <c r="Y26" s="7"/>
      <c r="Z26" s="7"/>
      <c r="AA26" s="7"/>
      <c r="AB26" s="8" t="s">
        <v>8</v>
      </c>
      <c r="AC26" s="7"/>
    </row>
    <row r="27" spans="3:29" ht="15" customHeight="1" x14ac:dyDescent="0.25"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277">
        <f>SUM(X23:X26)</f>
        <v>208.02500000000001</v>
      </c>
      <c r="Y27" s="54" t="s">
        <v>41</v>
      </c>
      <c r="Z27" s="143" t="s">
        <v>323</v>
      </c>
      <c r="AA27" s="7"/>
      <c r="AB27" s="8" t="s">
        <v>8</v>
      </c>
      <c r="AC27" s="7"/>
    </row>
    <row r="28" spans="3:29" ht="15" customHeight="1" x14ac:dyDescent="0.25">
      <c r="C28" s="16" t="s">
        <v>471</v>
      </c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47"/>
      <c r="D29" s="248"/>
      <c r="E29" s="248"/>
      <c r="F29" s="248"/>
      <c r="G29" s="248"/>
      <c r="H29" s="249"/>
      <c r="I29" s="250" t="s">
        <v>445</v>
      </c>
      <c r="J29" s="7"/>
      <c r="K29" s="7"/>
      <c r="L29" s="7"/>
      <c r="M29" s="9"/>
      <c r="N29" s="8" t="s">
        <v>8</v>
      </c>
      <c r="O29" s="48" t="s">
        <v>216</v>
      </c>
      <c r="P29" s="7" t="s">
        <v>472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53" t="s">
        <v>449</v>
      </c>
      <c r="D30" s="93"/>
      <c r="E30" s="93"/>
      <c r="F30" s="93"/>
      <c r="G30" s="93"/>
      <c r="H30" s="254"/>
      <c r="I30" s="255" t="s">
        <v>451</v>
      </c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6" t="s">
        <v>473</v>
      </c>
      <c r="D31" s="27"/>
      <c r="E31" s="27"/>
      <c r="F31" s="27"/>
      <c r="G31" s="27"/>
      <c r="H31" s="30"/>
      <c r="I31" s="94">
        <v>50</v>
      </c>
      <c r="J31" s="7"/>
      <c r="K31" s="7"/>
      <c r="L31" s="7"/>
      <c r="M31" s="9"/>
      <c r="N31" s="8" t="s">
        <v>8</v>
      </c>
      <c r="O31" s="7"/>
      <c r="P31" s="7" t="s">
        <v>474</v>
      </c>
      <c r="Q31" s="7"/>
      <c r="R31" s="7"/>
      <c r="S31" s="278">
        <f>X15</f>
        <v>320.25</v>
      </c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L32" s="7"/>
      <c r="M32" s="9"/>
      <c r="N32" s="8" t="s">
        <v>8</v>
      </c>
      <c r="O32" s="7"/>
      <c r="P32" s="7" t="s">
        <v>475</v>
      </c>
      <c r="Q32" s="7"/>
      <c r="R32" s="7"/>
      <c r="S32" s="279">
        <f>X27</f>
        <v>208.02500000000001</v>
      </c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 t="s">
        <v>476</v>
      </c>
      <c r="Q33" s="7"/>
      <c r="R33" s="7"/>
      <c r="S33" s="280">
        <f>I31</f>
        <v>50</v>
      </c>
      <c r="T33" s="54" t="s">
        <v>41</v>
      </c>
      <c r="U33" s="21" t="s">
        <v>246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281">
        <f>SUM(S31:S33)</f>
        <v>578.27499999999998</v>
      </c>
      <c r="T34" s="282" t="s">
        <v>41</v>
      </c>
      <c r="U34" s="283" t="s">
        <v>159</v>
      </c>
      <c r="V34" s="23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345</v>
      </c>
      <c r="N3" s="18" t="s">
        <v>8</v>
      </c>
      <c r="O3" s="41" t="s">
        <v>27</v>
      </c>
      <c r="P3" s="6" t="s">
        <v>295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296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297</v>
      </c>
      <c r="Q5" s="8" t="s">
        <v>10</v>
      </c>
      <c r="R5" s="8" t="s">
        <v>54</v>
      </c>
      <c r="S5" s="8" t="s">
        <v>18</v>
      </c>
      <c r="T5" s="8" t="s">
        <v>56</v>
      </c>
      <c r="U5" s="8" t="s">
        <v>18</v>
      </c>
      <c r="V5" s="8" t="s">
        <v>58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/>
      <c r="Q6" s="8" t="s">
        <v>10</v>
      </c>
      <c r="R6" s="8">
        <f>E11</f>
        <v>40600</v>
      </c>
      <c r="S6" s="8" t="s">
        <v>18</v>
      </c>
      <c r="T6" s="8">
        <f>E12</f>
        <v>32700</v>
      </c>
      <c r="U6" s="8" t="s">
        <v>18</v>
      </c>
      <c r="V6" s="8">
        <f>E13</f>
        <v>2570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C7" s="7" t="s">
        <v>298</v>
      </c>
      <c r="D7" s="49" t="s">
        <v>299</v>
      </c>
      <c r="E7" s="7" t="s">
        <v>300</v>
      </c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8"/>
      <c r="Q7" s="8" t="s">
        <v>10</v>
      </c>
      <c r="R7" s="8">
        <f>R6+T6+V6</f>
        <v>75870</v>
      </c>
      <c r="S7" s="8"/>
      <c r="T7" s="8"/>
      <c r="U7" s="8"/>
      <c r="V7" s="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7" t="s">
        <v>301</v>
      </c>
      <c r="D8" s="49" t="s">
        <v>299</v>
      </c>
      <c r="E8" s="7" t="s">
        <v>302</v>
      </c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8" t="s">
        <v>8</v>
      </c>
      <c r="O9" s="7"/>
      <c r="P9" s="7" t="s">
        <v>303</v>
      </c>
      <c r="Q9" s="73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16" t="s">
        <v>50</v>
      </c>
      <c r="D10" s="7"/>
      <c r="E10" s="7"/>
      <c r="F10" s="186" t="s">
        <v>51</v>
      </c>
      <c r="G10" s="7"/>
      <c r="H10" s="7"/>
      <c r="I10" s="7"/>
      <c r="J10" s="7"/>
      <c r="K10" s="9"/>
      <c r="L10" s="9"/>
      <c r="M10" s="9"/>
      <c r="N10" s="8" t="s">
        <v>8</v>
      </c>
      <c r="O10" s="7"/>
      <c r="P10" s="7"/>
      <c r="Q10" s="8" t="s">
        <v>10</v>
      </c>
      <c r="R10" s="104">
        <v>0.3</v>
      </c>
      <c r="S10" s="8" t="s">
        <v>146</v>
      </c>
      <c r="T10" s="8" t="s">
        <v>297</v>
      </c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2" t="s">
        <v>304</v>
      </c>
      <c r="D11" s="58"/>
      <c r="E11" s="62">
        <v>40600</v>
      </c>
      <c r="F11" s="8" t="s">
        <v>54</v>
      </c>
      <c r="G11" s="7"/>
      <c r="H11" s="7"/>
      <c r="I11" s="7"/>
      <c r="J11" s="7"/>
      <c r="K11" s="9"/>
      <c r="L11" s="9"/>
      <c r="M11" s="9"/>
      <c r="N11" s="8" t="s">
        <v>8</v>
      </c>
      <c r="O11" s="7"/>
      <c r="P11" s="7"/>
      <c r="Q11" s="8" t="s">
        <v>10</v>
      </c>
      <c r="R11" s="104">
        <v>0.3</v>
      </c>
      <c r="S11" s="8" t="s">
        <v>146</v>
      </c>
      <c r="T11" s="8">
        <f>R7</f>
        <v>75870</v>
      </c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305</v>
      </c>
      <c r="D12" s="55"/>
      <c r="E12" s="28">
        <v>32700</v>
      </c>
      <c r="F12" s="8" t="s">
        <v>56</v>
      </c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/>
      <c r="Q12" s="8" t="s">
        <v>10</v>
      </c>
      <c r="R12" s="187">
        <f>R11*T11</f>
        <v>22761</v>
      </c>
      <c r="S12" s="8"/>
      <c r="T12" s="8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306</v>
      </c>
      <c r="D13" s="30"/>
      <c r="E13" s="29">
        <v>2570</v>
      </c>
      <c r="F13" s="8" t="s">
        <v>58</v>
      </c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46" t="s">
        <v>144</v>
      </c>
      <c r="P14" s="7" t="s">
        <v>307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308</v>
      </c>
      <c r="D15" s="7"/>
      <c r="E15" s="7"/>
      <c r="F15" s="7"/>
      <c r="G15" s="7"/>
      <c r="H15" s="16" t="s">
        <v>309</v>
      </c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2" t="s">
        <v>310</v>
      </c>
      <c r="D16" s="58"/>
      <c r="E16" s="62">
        <v>997000</v>
      </c>
      <c r="F16" s="7"/>
      <c r="G16" s="7"/>
      <c r="H16" s="188" t="s">
        <v>298</v>
      </c>
      <c r="I16" s="62">
        <v>21960</v>
      </c>
      <c r="J16" s="7"/>
      <c r="K16" s="7"/>
      <c r="L16" s="7"/>
      <c r="M16" s="9"/>
      <c r="N16" s="8" t="s">
        <v>8</v>
      </c>
      <c r="O16" s="7"/>
      <c r="P16" s="16" t="s">
        <v>311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189" t="s">
        <v>50</v>
      </c>
      <c r="AB16" s="8" t="s">
        <v>8</v>
      </c>
      <c r="AC16" s="9"/>
    </row>
    <row r="17" spans="3:29" ht="15" customHeight="1" x14ac:dyDescent="0.25">
      <c r="C17" s="24" t="s">
        <v>312</v>
      </c>
      <c r="D17" s="55"/>
      <c r="E17" s="28">
        <v>244000</v>
      </c>
      <c r="F17" s="7"/>
      <c r="G17" s="7"/>
      <c r="H17" s="190" t="s">
        <v>301</v>
      </c>
      <c r="I17" s="29">
        <v>4900</v>
      </c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313</v>
      </c>
      <c r="D18" s="30"/>
      <c r="E18" s="29">
        <v>70000</v>
      </c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 t="s">
        <v>314</v>
      </c>
      <c r="Q18" s="7"/>
      <c r="R18" s="7"/>
      <c r="S18" s="7"/>
      <c r="T18" s="7"/>
      <c r="U18" s="7"/>
      <c r="V18" s="8" t="s">
        <v>10</v>
      </c>
      <c r="W18" s="168">
        <f>I28</f>
        <v>8.5000000000000006E-2</v>
      </c>
      <c r="X18" s="8" t="s">
        <v>146</v>
      </c>
      <c r="Y18" s="7">
        <f>R7</f>
        <v>75870</v>
      </c>
      <c r="Z18" s="8" t="s">
        <v>10</v>
      </c>
      <c r="AA18" s="7">
        <f>ROUND(W18*Y18,0)</f>
        <v>6449</v>
      </c>
      <c r="AB18" s="8" t="s">
        <v>8</v>
      </c>
      <c r="AC18" s="9"/>
    </row>
    <row r="19" spans="3:29" ht="15" customHeight="1" x14ac:dyDescent="0.25">
      <c r="C19" s="26" t="s">
        <v>315</v>
      </c>
      <c r="D19" s="30"/>
      <c r="E19" s="191">
        <v>0.25</v>
      </c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7" t="s">
        <v>316</v>
      </c>
      <c r="Q19" s="7"/>
      <c r="R19" s="7"/>
      <c r="S19" s="7"/>
      <c r="T19" s="7"/>
      <c r="U19" s="7"/>
      <c r="V19" s="8" t="s">
        <v>10</v>
      </c>
      <c r="W19" s="168">
        <f>I22</f>
        <v>2.5000000000000001E-2</v>
      </c>
      <c r="X19" s="8" t="s">
        <v>146</v>
      </c>
      <c r="Y19" s="7">
        <f>E16</f>
        <v>997000</v>
      </c>
      <c r="Z19" s="8" t="s">
        <v>10</v>
      </c>
      <c r="AA19" s="7">
        <f t="shared" ref="AA19:AA22" si="0">ROUND(W19*Y19,0)</f>
        <v>24925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 t="s">
        <v>317</v>
      </c>
      <c r="Q20" s="7"/>
      <c r="R20" s="7"/>
      <c r="S20" s="7"/>
      <c r="T20" s="7"/>
      <c r="U20" s="7"/>
      <c r="V20" s="8" t="s">
        <v>10</v>
      </c>
      <c r="W20" s="168">
        <f>I23</f>
        <v>1.7500000000000002E-2</v>
      </c>
      <c r="X20" s="8" t="s">
        <v>146</v>
      </c>
      <c r="Y20" s="7">
        <f>E17</f>
        <v>244000</v>
      </c>
      <c r="Z20" s="8" t="s">
        <v>10</v>
      </c>
      <c r="AA20" s="7">
        <f t="shared" si="0"/>
        <v>4270</v>
      </c>
      <c r="AB20" s="8" t="s">
        <v>8</v>
      </c>
      <c r="AC20" s="9"/>
    </row>
    <row r="21" spans="3:29" ht="15" customHeight="1" x14ac:dyDescent="0.25">
      <c r="C21" s="16" t="s">
        <v>318</v>
      </c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319</v>
      </c>
      <c r="Q21" s="7"/>
      <c r="R21" s="7"/>
      <c r="S21" s="7"/>
      <c r="T21" s="7"/>
      <c r="U21" s="7"/>
      <c r="V21" s="8" t="s">
        <v>10</v>
      </c>
      <c r="W21" s="168">
        <f>I27</f>
        <v>2.5000000000000001E-2</v>
      </c>
      <c r="X21" s="8" t="s">
        <v>146</v>
      </c>
      <c r="Y21" s="7">
        <f>E18</f>
        <v>70000</v>
      </c>
      <c r="Z21" s="8" t="s">
        <v>10</v>
      </c>
      <c r="AA21" s="7">
        <f t="shared" si="0"/>
        <v>1750</v>
      </c>
      <c r="AB21" s="8" t="s">
        <v>8</v>
      </c>
      <c r="AC21" s="9"/>
    </row>
    <row r="22" spans="3:29" ht="15" customHeight="1" x14ac:dyDescent="0.25">
      <c r="C22" s="19" t="s">
        <v>320</v>
      </c>
      <c r="D22" s="192"/>
      <c r="E22" s="20"/>
      <c r="F22" s="20"/>
      <c r="G22" s="192"/>
      <c r="H22" s="51"/>
      <c r="I22" s="193">
        <v>2.5000000000000001E-2</v>
      </c>
      <c r="J22" s="194"/>
      <c r="K22" s="7"/>
      <c r="L22" s="7"/>
      <c r="M22" s="9"/>
      <c r="N22" s="8" t="s">
        <v>8</v>
      </c>
      <c r="O22" s="7"/>
      <c r="P22" s="7" t="s">
        <v>321</v>
      </c>
      <c r="Q22" s="7"/>
      <c r="R22" s="7"/>
      <c r="S22" s="7"/>
      <c r="T22" s="7"/>
      <c r="U22" s="7"/>
      <c r="V22" s="8" t="s">
        <v>10</v>
      </c>
      <c r="W22" s="168">
        <f>I27</f>
        <v>2.5000000000000001E-2</v>
      </c>
      <c r="X22" s="8" t="s">
        <v>146</v>
      </c>
      <c r="Y22" s="7">
        <f>MAX(E19-20%, 0)*(E16+E17)/(1+E19)</f>
        <v>49639.999999999985</v>
      </c>
      <c r="Z22" s="8" t="s">
        <v>10</v>
      </c>
      <c r="AA22" s="7">
        <f t="shared" si="0"/>
        <v>1241</v>
      </c>
      <c r="AB22" s="8" t="s">
        <v>8</v>
      </c>
      <c r="AC22" s="9"/>
    </row>
    <row r="23" spans="3:29" ht="15" customHeight="1" x14ac:dyDescent="0.25">
      <c r="C23" s="24" t="s">
        <v>322</v>
      </c>
      <c r="D23" s="195"/>
      <c r="E23" s="25"/>
      <c r="F23" s="25"/>
      <c r="G23" s="195"/>
      <c r="H23" s="55"/>
      <c r="I23" s="196">
        <v>1.7500000000000002E-2</v>
      </c>
      <c r="J23" s="194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8" t="s">
        <v>323</v>
      </c>
      <c r="Z23" s="49" t="s">
        <v>299</v>
      </c>
      <c r="AA23" s="197">
        <f>SUM(AA18:AA22)</f>
        <v>38635</v>
      </c>
      <c r="AB23" s="8" t="s">
        <v>8</v>
      </c>
      <c r="AC23" s="9"/>
    </row>
    <row r="24" spans="3:29" ht="15" customHeight="1" x14ac:dyDescent="0.25">
      <c r="C24" s="26" t="s">
        <v>324</v>
      </c>
      <c r="D24" s="198"/>
      <c r="E24" s="27"/>
      <c r="F24" s="27"/>
      <c r="G24" s="198"/>
      <c r="H24" s="30"/>
      <c r="I24" s="199">
        <v>7.4999999999999997E-3</v>
      </c>
      <c r="J24" s="194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24" t="s">
        <v>325</v>
      </c>
      <c r="D25" s="195"/>
      <c r="E25" s="25"/>
      <c r="F25" s="25"/>
      <c r="G25" s="195"/>
      <c r="H25" s="55"/>
      <c r="I25" s="196">
        <v>2.5000000000000001E-2</v>
      </c>
      <c r="J25" s="194"/>
      <c r="K25" s="7"/>
      <c r="L25" s="7"/>
      <c r="M25" s="9"/>
      <c r="N25" s="8" t="s">
        <v>8</v>
      </c>
      <c r="O25" s="7"/>
      <c r="P25" s="16" t="s">
        <v>326</v>
      </c>
      <c r="Q25" s="7"/>
      <c r="R25" s="7"/>
      <c r="S25" s="7"/>
      <c r="T25" s="7"/>
      <c r="U25" s="7"/>
      <c r="V25" s="7"/>
      <c r="W25" s="189" t="s">
        <v>50</v>
      </c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26" t="s">
        <v>327</v>
      </c>
      <c r="D26" s="198"/>
      <c r="E26" s="27"/>
      <c r="F26" s="27"/>
      <c r="G26" s="198"/>
      <c r="H26" s="30"/>
      <c r="I26" s="199">
        <v>7.4999999999999997E-3</v>
      </c>
      <c r="J26" s="194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24" t="s">
        <v>328</v>
      </c>
      <c r="D27" s="195"/>
      <c r="E27" s="25"/>
      <c r="F27" s="25"/>
      <c r="G27" s="195"/>
      <c r="H27" s="55"/>
      <c r="I27" s="196">
        <v>2.5000000000000001E-2</v>
      </c>
      <c r="J27" s="194"/>
      <c r="K27" s="7"/>
      <c r="L27" s="7"/>
      <c r="M27" s="9"/>
      <c r="N27" s="8" t="s">
        <v>8</v>
      </c>
      <c r="O27" s="7"/>
      <c r="P27" s="7" t="s">
        <v>329</v>
      </c>
      <c r="Q27" s="7"/>
      <c r="R27" s="8" t="s">
        <v>10</v>
      </c>
      <c r="S27" s="168">
        <f>I24</f>
        <v>7.4999999999999997E-3</v>
      </c>
      <c r="T27" s="8" t="s">
        <v>146</v>
      </c>
      <c r="U27" s="7">
        <f>I16</f>
        <v>21960</v>
      </c>
      <c r="V27" s="8" t="s">
        <v>10</v>
      </c>
      <c r="W27" s="7">
        <f t="shared" ref="W27:W28" si="1">ROUND(S27*U27,0)</f>
        <v>165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26" t="s">
        <v>330</v>
      </c>
      <c r="D28" s="198"/>
      <c r="E28" s="27"/>
      <c r="F28" s="27"/>
      <c r="G28" s="198"/>
      <c r="H28" s="30"/>
      <c r="I28" s="199">
        <v>8.5000000000000006E-2</v>
      </c>
      <c r="J28" s="194"/>
      <c r="K28" s="7"/>
      <c r="L28" s="7"/>
      <c r="M28" s="9"/>
      <c r="N28" s="8" t="s">
        <v>8</v>
      </c>
      <c r="O28" s="7"/>
      <c r="P28" s="7" t="s">
        <v>331</v>
      </c>
      <c r="Q28" s="7"/>
      <c r="R28" s="8" t="s">
        <v>10</v>
      </c>
      <c r="S28" s="168">
        <f>I26</f>
        <v>7.4999999999999997E-3</v>
      </c>
      <c r="T28" s="8" t="s">
        <v>146</v>
      </c>
      <c r="U28" s="7">
        <f>I17</f>
        <v>4900</v>
      </c>
      <c r="V28" s="8" t="s">
        <v>10</v>
      </c>
      <c r="W28" s="7">
        <f t="shared" si="1"/>
        <v>37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197">
        <f>MAX(W27:W28)</f>
        <v>165</v>
      </c>
      <c r="X29" s="49" t="s">
        <v>41</v>
      </c>
      <c r="Y29" s="71" t="s">
        <v>332</v>
      </c>
      <c r="Z29" s="71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 t="s">
        <v>333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16" t="s">
        <v>311</v>
      </c>
      <c r="Q33" s="7"/>
      <c r="R33" s="8" t="s">
        <v>18</v>
      </c>
      <c r="S33" s="16" t="s">
        <v>326</v>
      </c>
      <c r="T33" s="7"/>
      <c r="U33" s="8" t="s">
        <v>10</v>
      </c>
      <c r="V33" s="156">
        <f>AA23+W29</f>
        <v>38800</v>
      </c>
      <c r="W33" s="49" t="s">
        <v>41</v>
      </c>
      <c r="X33" s="71" t="s">
        <v>334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48" t="s">
        <v>216</v>
      </c>
      <c r="P35" s="7" t="s">
        <v>335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 t="s">
        <v>336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8" t="s">
        <v>10</v>
      </c>
      <c r="R38" s="8" t="s">
        <v>337</v>
      </c>
      <c r="S38" s="8" t="s">
        <v>35</v>
      </c>
      <c r="T38" s="200">
        <f>R12</f>
        <v>22761</v>
      </c>
      <c r="U38" s="8" t="s">
        <v>338</v>
      </c>
      <c r="V38" s="46">
        <f>V33</f>
        <v>38800</v>
      </c>
      <c r="W38" s="8" t="s">
        <v>37</v>
      </c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48">
        <f>MIN(T38,V38)</f>
        <v>22761</v>
      </c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21" t="s">
        <v>43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O2" s="36" t="s">
        <v>24</v>
      </c>
      <c r="P2" s="15"/>
      <c r="Q2" s="15"/>
      <c r="R2" s="15"/>
      <c r="S2" s="15"/>
      <c r="T2" s="37" t="str">
        <f>IF(R9&gt;=1.5,"is met","is not met")</f>
        <v>is not met</v>
      </c>
      <c r="U2" s="38" t="s">
        <v>25</v>
      </c>
      <c r="V2" s="39"/>
      <c r="W2" s="40">
        <f>R9</f>
        <v>1.247112397693467</v>
      </c>
      <c r="AB2" s="18" t="s">
        <v>8</v>
      </c>
    </row>
    <row r="3" spans="1:29" ht="15" customHeight="1" x14ac:dyDescent="0.25">
      <c r="A3" s="5" t="s">
        <v>5</v>
      </c>
      <c r="C3" s="6" t="s">
        <v>26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 t="s">
        <v>8</v>
      </c>
      <c r="O4" s="41" t="s">
        <v>27</v>
      </c>
      <c r="P4" s="6" t="s">
        <v>28</v>
      </c>
      <c r="Q4" s="42"/>
      <c r="R4" s="43"/>
      <c r="S4" s="44"/>
      <c r="T4" s="44"/>
      <c r="AB4" s="8" t="s">
        <v>8</v>
      </c>
      <c r="AC4" s="9"/>
    </row>
    <row r="5" spans="1:29" ht="15" customHeight="1" x14ac:dyDescent="0.25">
      <c r="A5" s="16" t="s">
        <v>9</v>
      </c>
      <c r="C5" t="s">
        <v>19</v>
      </c>
      <c r="D5" t="s">
        <v>29</v>
      </c>
      <c r="E5" s="7"/>
      <c r="F5" s="7"/>
      <c r="G5" s="7"/>
      <c r="H5" s="7"/>
      <c r="I5" s="7"/>
      <c r="J5" s="7"/>
      <c r="K5" s="7"/>
      <c r="L5" s="7"/>
      <c r="M5" s="9"/>
      <c r="N5" s="18" t="s">
        <v>8</v>
      </c>
      <c r="O5" s="7"/>
      <c r="P5" s="7"/>
      <c r="Q5"/>
      <c r="R5"/>
      <c r="S5"/>
      <c r="T5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20</v>
      </c>
      <c r="D6" s="7" t="s">
        <v>30</v>
      </c>
      <c r="E6" s="7"/>
      <c r="F6" s="7"/>
      <c r="G6" s="7"/>
      <c r="H6" s="7"/>
      <c r="I6" s="7"/>
      <c r="J6" s="7"/>
      <c r="K6" s="7"/>
      <c r="L6" s="7"/>
      <c r="M6" s="9"/>
      <c r="N6" s="18" t="s">
        <v>8</v>
      </c>
      <c r="O6" s="7"/>
      <c r="P6" s="42" t="s">
        <v>31</v>
      </c>
      <c r="Q6" s="43" t="s">
        <v>10</v>
      </c>
      <c r="R6" s="43" t="s">
        <v>32</v>
      </c>
      <c r="S6" s="45" t="s">
        <v>33</v>
      </c>
      <c r="T6" t="s">
        <v>34</v>
      </c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N7" s="18" t="s">
        <v>8</v>
      </c>
      <c r="O7" s="7"/>
      <c r="P7" s="7"/>
      <c r="Q7" s="43" t="s">
        <v>10</v>
      </c>
      <c r="R7" s="46">
        <f>Z14</f>
        <v>47390</v>
      </c>
      <c r="S7" s="45" t="s">
        <v>33</v>
      </c>
      <c r="T7" s="47" t="s">
        <v>35</v>
      </c>
      <c r="U7" s="48" t="s">
        <v>36</v>
      </c>
      <c r="V7" s="49" t="s">
        <v>33</v>
      </c>
      <c r="W7" s="50">
        <v>1.5</v>
      </c>
      <c r="X7" s="7" t="s">
        <v>37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 t="s">
        <v>6</v>
      </c>
      <c r="B8" s="9"/>
      <c r="C8" s="16" t="s">
        <v>38</v>
      </c>
      <c r="D8" s="7"/>
      <c r="E8" s="7"/>
      <c r="F8" s="7"/>
      <c r="G8" s="7"/>
      <c r="H8" s="7"/>
      <c r="I8" s="7"/>
      <c r="J8" s="7"/>
      <c r="K8" s="7"/>
      <c r="L8" s="7"/>
      <c r="M8" s="9"/>
      <c r="N8" s="18" t="s">
        <v>8</v>
      </c>
      <c r="O8" s="7"/>
      <c r="P8" s="7"/>
      <c r="Q8" s="43" t="s">
        <v>10</v>
      </c>
      <c r="R8" s="8">
        <f>R7</f>
        <v>47390</v>
      </c>
      <c r="S8" s="45" t="s">
        <v>33</v>
      </c>
      <c r="T8" s="47" t="s">
        <v>35</v>
      </c>
      <c r="U8" s="8">
        <f>R25</f>
        <v>56999.673911887679</v>
      </c>
      <c r="V8" s="49" t="s">
        <v>33</v>
      </c>
      <c r="W8" s="50">
        <v>1.5</v>
      </c>
      <c r="X8" s="7" t="s">
        <v>37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19" t="s">
        <v>39</v>
      </c>
      <c r="D9" s="20"/>
      <c r="E9" s="51"/>
      <c r="F9" s="52">
        <v>51900</v>
      </c>
      <c r="G9" s="7"/>
      <c r="H9" s="7"/>
      <c r="I9" s="7"/>
      <c r="J9" s="7"/>
      <c r="K9" s="9"/>
      <c r="L9" s="9"/>
      <c r="M9" s="9"/>
      <c r="N9" s="18" t="s">
        <v>8</v>
      </c>
      <c r="O9" s="7"/>
      <c r="P9" s="7"/>
      <c r="Q9" s="43" t="s">
        <v>10</v>
      </c>
      <c r="R9" s="53">
        <f>R8/(U8/1.5)</f>
        <v>1.247112397693467</v>
      </c>
      <c r="S9" s="54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</v>
      </c>
      <c r="D10" s="25"/>
      <c r="E10" s="55"/>
      <c r="F10" s="28">
        <v>4000</v>
      </c>
      <c r="G10" s="49" t="s">
        <v>41</v>
      </c>
      <c r="H10" s="9" t="s">
        <v>42</v>
      </c>
      <c r="I10" s="7"/>
      <c r="J10" s="7"/>
      <c r="K10" s="9"/>
      <c r="L10" s="9"/>
      <c r="M10" s="9"/>
      <c r="N10" s="18" t="s">
        <v>8</v>
      </c>
      <c r="O10" s="7"/>
      <c r="P10" s="7"/>
      <c r="Q10" s="7"/>
      <c r="R10" s="21" t="s">
        <v>43</v>
      </c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</v>
      </c>
      <c r="D11" s="25"/>
      <c r="E11" s="55"/>
      <c r="F11" s="28">
        <v>520</v>
      </c>
      <c r="G11" s="49" t="s">
        <v>41</v>
      </c>
      <c r="H11" s="9" t="s">
        <v>45</v>
      </c>
      <c r="I11" s="7"/>
      <c r="J11" s="7"/>
      <c r="K11" s="9"/>
      <c r="L11" s="9"/>
      <c r="M11" s="9"/>
      <c r="N11" s="1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24" t="s">
        <v>46</v>
      </c>
      <c r="D12" s="25"/>
      <c r="E12" s="55"/>
      <c r="F12" s="28">
        <v>20</v>
      </c>
      <c r="G12" s="7"/>
      <c r="H12" s="7"/>
      <c r="I12" s="7"/>
      <c r="J12" s="7"/>
      <c r="K12" s="9"/>
      <c r="L12" s="9"/>
      <c r="M12" s="9"/>
      <c r="N12" s="18" t="s">
        <v>8</v>
      </c>
      <c r="O12" s="56" t="s">
        <v>47</v>
      </c>
      <c r="P12" s="7" t="s">
        <v>48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49</v>
      </c>
      <c r="D13" s="27"/>
      <c r="E13" s="30"/>
      <c r="F13" s="29">
        <v>30</v>
      </c>
      <c r="G13" s="7"/>
      <c r="H13" s="7"/>
      <c r="I13" s="7"/>
      <c r="J13" s="7"/>
      <c r="K13" s="9"/>
      <c r="L13" s="9"/>
      <c r="M13" s="9"/>
      <c r="N13" s="1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18" t="s">
        <v>8</v>
      </c>
      <c r="O14" s="7"/>
      <c r="P14" s="7" t="s">
        <v>32</v>
      </c>
      <c r="Q14" s="57" t="s">
        <v>10</v>
      </c>
      <c r="R14" s="23" t="s">
        <v>39</v>
      </c>
      <c r="S14" s="23"/>
      <c r="T14" s="58"/>
      <c r="V14" s="57" t="s">
        <v>10</v>
      </c>
      <c r="W14" s="58">
        <f>F9</f>
        <v>51900</v>
      </c>
      <c r="X14" s="7"/>
      <c r="Y14" s="57" t="s">
        <v>10</v>
      </c>
      <c r="Z14" s="59">
        <f>W14-W15-W16-W17+W18</f>
        <v>47390</v>
      </c>
      <c r="AA14" s="7"/>
      <c r="AB14" s="8" t="s">
        <v>8</v>
      </c>
      <c r="AC14" s="9"/>
    </row>
    <row r="15" spans="1:29" ht="15" customHeight="1" x14ac:dyDescent="0.25">
      <c r="C15" s="16" t="s">
        <v>50</v>
      </c>
      <c r="D15" s="7"/>
      <c r="E15" s="7"/>
      <c r="F15" s="7"/>
      <c r="G15" s="7"/>
      <c r="H15" s="27" t="s">
        <v>51</v>
      </c>
      <c r="I15" s="7"/>
      <c r="J15" s="7"/>
      <c r="K15" s="9"/>
      <c r="L15" s="9"/>
      <c r="M15" s="9"/>
      <c r="N15" s="18" t="s">
        <v>8</v>
      </c>
      <c r="O15" s="7"/>
      <c r="P15" s="7"/>
      <c r="Q15" s="60" t="s">
        <v>52</v>
      </c>
      <c r="R15" s="25" t="s">
        <v>40</v>
      </c>
      <c r="S15" s="25"/>
      <c r="T15" s="55"/>
      <c r="V15" s="60" t="s">
        <v>52</v>
      </c>
      <c r="W15" s="55">
        <f>F10</f>
        <v>4000</v>
      </c>
      <c r="X15" s="7"/>
      <c r="Y15" s="26"/>
      <c r="Z15" s="61"/>
      <c r="AA15" s="7"/>
      <c r="AB15" s="8" t="s">
        <v>8</v>
      </c>
      <c r="AC15" s="9"/>
    </row>
    <row r="16" spans="1:29" ht="15" customHeight="1" x14ac:dyDescent="0.25">
      <c r="C16" s="22" t="s">
        <v>53</v>
      </c>
      <c r="D16" s="23"/>
      <c r="E16" s="58"/>
      <c r="F16" s="62">
        <v>36400</v>
      </c>
      <c r="G16" s="49" t="s">
        <v>41</v>
      </c>
      <c r="H16" s="8" t="s">
        <v>54</v>
      </c>
      <c r="I16" s="7"/>
      <c r="J16" s="7"/>
      <c r="K16" s="7"/>
      <c r="L16" s="7"/>
      <c r="M16" s="9"/>
      <c r="N16" s="18" t="s">
        <v>8</v>
      </c>
      <c r="O16" s="7"/>
      <c r="P16" s="7"/>
      <c r="Q16" s="60" t="s">
        <v>52</v>
      </c>
      <c r="R16" s="25" t="s">
        <v>44</v>
      </c>
      <c r="S16" s="25"/>
      <c r="T16" s="55"/>
      <c r="V16" s="60" t="s">
        <v>52</v>
      </c>
      <c r="W16" s="55">
        <f>F11</f>
        <v>520</v>
      </c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55</v>
      </c>
      <c r="D17" s="25"/>
      <c r="E17" s="55"/>
      <c r="F17" s="28">
        <v>11300</v>
      </c>
      <c r="G17" s="49" t="s">
        <v>41</v>
      </c>
      <c r="H17" s="8" t="s">
        <v>56</v>
      </c>
      <c r="I17" s="7"/>
      <c r="J17" s="7"/>
      <c r="K17" s="7"/>
      <c r="L17" s="7"/>
      <c r="M17" s="9"/>
      <c r="N17" s="18" t="s">
        <v>8</v>
      </c>
      <c r="O17" s="7"/>
      <c r="P17" s="7"/>
      <c r="Q17" s="60" t="s">
        <v>52</v>
      </c>
      <c r="R17" s="25" t="s">
        <v>46</v>
      </c>
      <c r="S17" s="25"/>
      <c r="T17" s="55"/>
      <c r="V17" s="60" t="s">
        <v>52</v>
      </c>
      <c r="W17" s="55">
        <f>F12</f>
        <v>20</v>
      </c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4" t="s">
        <v>57</v>
      </c>
      <c r="D18" s="25"/>
      <c r="E18" s="55"/>
      <c r="F18" s="28">
        <v>4000</v>
      </c>
      <c r="G18" s="49" t="s">
        <v>41</v>
      </c>
      <c r="H18" s="8" t="s">
        <v>58</v>
      </c>
      <c r="I18" s="7"/>
      <c r="J18" s="7"/>
      <c r="K18" s="7"/>
      <c r="L18" s="7"/>
      <c r="M18" s="9"/>
      <c r="N18" s="18" t="s">
        <v>8</v>
      </c>
      <c r="Q18" s="63" t="s">
        <v>59</v>
      </c>
      <c r="R18" s="27" t="s">
        <v>49</v>
      </c>
      <c r="S18" s="64"/>
      <c r="T18" s="30"/>
      <c r="V18" s="63" t="s">
        <v>59</v>
      </c>
      <c r="W18" s="30">
        <f>F13</f>
        <v>30</v>
      </c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60</v>
      </c>
      <c r="D19" s="27"/>
      <c r="E19" s="30"/>
      <c r="F19" s="29">
        <v>11000</v>
      </c>
      <c r="G19" s="49" t="s">
        <v>41</v>
      </c>
      <c r="H19" s="8" t="s">
        <v>61</v>
      </c>
      <c r="I19" s="7"/>
      <c r="J19" s="7"/>
      <c r="K19" s="7"/>
      <c r="L19" s="7"/>
      <c r="M19" s="9"/>
      <c r="N19" s="18" t="s">
        <v>8</v>
      </c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18" t="s">
        <v>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9" t="s">
        <v>62</v>
      </c>
      <c r="D21" s="20"/>
      <c r="E21" s="51"/>
      <c r="F21" s="65">
        <v>0.5</v>
      </c>
      <c r="G21" s="49" t="s">
        <v>41</v>
      </c>
      <c r="H21" s="8" t="s">
        <v>63</v>
      </c>
      <c r="I21" s="7" t="s">
        <v>64</v>
      </c>
      <c r="J21" s="7"/>
      <c r="K21" s="7"/>
      <c r="L21" s="7"/>
      <c r="M21" s="9"/>
      <c r="N21" s="18" t="s">
        <v>8</v>
      </c>
      <c r="O21" s="48" t="s">
        <v>47</v>
      </c>
      <c r="P21" s="7" t="s">
        <v>65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1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16"/>
      <c r="I23" s="7"/>
      <c r="J23" s="7"/>
      <c r="K23" s="7"/>
      <c r="L23" s="7"/>
      <c r="M23" s="9"/>
      <c r="N23" s="18" t="s">
        <v>8</v>
      </c>
      <c r="O23" s="7"/>
      <c r="P23" s="66" t="s">
        <v>36</v>
      </c>
      <c r="Q23" s="43" t="s">
        <v>10</v>
      </c>
      <c r="R23" s="7" t="s">
        <v>66</v>
      </c>
      <c r="S23" s="7"/>
      <c r="T23" s="8" t="s">
        <v>11</v>
      </c>
      <c r="U23" s="67" t="s">
        <v>67</v>
      </c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18" t="s">
        <v>8</v>
      </c>
      <c r="O24" s="7"/>
      <c r="P24" s="7"/>
      <c r="Q24" s="43" t="s">
        <v>10</v>
      </c>
      <c r="R24" s="7">
        <f>SUM(F16:F19)</f>
        <v>62700</v>
      </c>
      <c r="S24" s="7"/>
      <c r="T24" s="8" t="s">
        <v>11</v>
      </c>
      <c r="U24" s="21">
        <f>R32</f>
        <v>5700.3260881123206</v>
      </c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18" t="s">
        <v>8</v>
      </c>
      <c r="O25" s="7"/>
      <c r="P25" s="7"/>
      <c r="Q25" s="43" t="s">
        <v>10</v>
      </c>
      <c r="R25" s="68">
        <f>R24-U24</f>
        <v>56999.673911887679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69" t="s">
        <v>68</v>
      </c>
      <c r="Q28" s="20"/>
      <c r="R28" s="20"/>
      <c r="S28" s="51"/>
      <c r="T28" s="70" t="s">
        <v>69</v>
      </c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8"/>
      <c r="T29"/>
      <c r="U29" s="43"/>
      <c r="V29"/>
      <c r="W29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1" t="s">
        <v>67</v>
      </c>
      <c r="Q30" s="8" t="s">
        <v>10</v>
      </c>
      <c r="R30" s="72" t="s">
        <v>70</v>
      </c>
      <c r="S30" s="43" t="s">
        <v>11</v>
      </c>
      <c r="T30" t="s">
        <v>71</v>
      </c>
      <c r="U30" s="43"/>
      <c r="V30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8" t="s">
        <v>10</v>
      </c>
      <c r="R31" s="7">
        <f>S42</f>
        <v>51700</v>
      </c>
      <c r="S31" s="43" t="s">
        <v>11</v>
      </c>
      <c r="T31" s="73">
        <f>S45^0.5</f>
        <v>45999.673911887679</v>
      </c>
      <c r="U31" s="74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8" t="s">
        <v>10</v>
      </c>
      <c r="R32" s="21">
        <f>R31-T31</f>
        <v>5700.3260881123206</v>
      </c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5" t="s">
        <v>72</v>
      </c>
      <c r="Q34" s="76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42" t="s">
        <v>73</v>
      </c>
      <c r="Q36" s="8" t="s">
        <v>74</v>
      </c>
      <c r="R36" s="8" t="s">
        <v>10</v>
      </c>
      <c r="S36" s="77" t="s">
        <v>75</v>
      </c>
      <c r="T36" s="8" t="s">
        <v>10</v>
      </c>
      <c r="U36" s="7" t="s">
        <v>55</v>
      </c>
      <c r="V36" s="7"/>
      <c r="W36" s="8" t="s">
        <v>18</v>
      </c>
      <c r="X36" s="7" t="s">
        <v>57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66"/>
      <c r="Q37" s="7"/>
      <c r="R37" s="7"/>
      <c r="S37" s="7"/>
      <c r="T37" s="8" t="s">
        <v>10</v>
      </c>
      <c r="U37" s="7">
        <f>F17</f>
        <v>11300</v>
      </c>
      <c r="V37" s="7"/>
      <c r="W37" s="8" t="s">
        <v>18</v>
      </c>
      <c r="X37" s="7">
        <f>F18</f>
        <v>4000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66"/>
      <c r="Q38" s="8"/>
      <c r="R38" s="8"/>
      <c r="S38" s="7"/>
      <c r="T38" s="8" t="s">
        <v>10</v>
      </c>
      <c r="U38" s="77">
        <f>U37+X37</f>
        <v>15300</v>
      </c>
      <c r="V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66"/>
      <c r="Q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8" t="s">
        <v>76</v>
      </c>
      <c r="Q40" s="79" t="s">
        <v>70</v>
      </c>
      <c r="R40" s="8" t="s">
        <v>10</v>
      </c>
      <c r="S40" s="8" t="s">
        <v>74</v>
      </c>
      <c r="T40" s="8" t="s">
        <v>18</v>
      </c>
      <c r="U40" s="8" t="s">
        <v>54</v>
      </c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8" t="s">
        <v>10</v>
      </c>
      <c r="S41" s="7">
        <f>U38</f>
        <v>15300</v>
      </c>
      <c r="T41" s="8" t="s">
        <v>18</v>
      </c>
      <c r="U41" s="7">
        <f>F16</f>
        <v>36400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R42" s="8" t="s">
        <v>10</v>
      </c>
      <c r="S42" s="35">
        <f>S41+U41</f>
        <v>51700</v>
      </c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8" t="s">
        <v>77</v>
      </c>
      <c r="Q44" s="80" t="s">
        <v>78</v>
      </c>
      <c r="R44" s="8" t="s">
        <v>10</v>
      </c>
      <c r="S44" s="81" t="s">
        <v>79</v>
      </c>
      <c r="T44" s="81" t="s">
        <v>18</v>
      </c>
      <c r="U44" s="81" t="s">
        <v>80</v>
      </c>
      <c r="V44" s="81" t="s">
        <v>18</v>
      </c>
      <c r="W44" s="81" t="s">
        <v>81</v>
      </c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R45" s="8" t="s">
        <v>10</v>
      </c>
      <c r="S45" s="115">
        <f>U38^2 + U41^2 + 2*F21*U38*U41</f>
        <v>2115970000</v>
      </c>
      <c r="T45" s="116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82" t="s">
        <v>82</v>
      </c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mergeCells count="1">
    <mergeCell ref="S45:T45"/>
  </mergeCells>
  <conditionalFormatting sqref="T2">
    <cfRule type="cellIs" dxfId="5" priority="1" operator="equal">
      <formula>"is met"</formula>
    </cfRule>
    <cfRule type="cellIs" dxfId="4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343</v>
      </c>
      <c r="N3" s="18" t="s">
        <v>8</v>
      </c>
      <c r="O3" s="41" t="s">
        <v>83</v>
      </c>
      <c r="P3" s="6" t="s">
        <v>84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6</v>
      </c>
      <c r="C5" s="7" t="s">
        <v>85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Q5" s="7"/>
      <c r="R5" s="7"/>
      <c r="S5" s="7"/>
      <c r="T5" s="7"/>
      <c r="U5" s="84" t="s">
        <v>86</v>
      </c>
      <c r="V5" s="84" t="s">
        <v>87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88</v>
      </c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>E10</f>
        <v>Residual Interest (Non-Stock)</v>
      </c>
      <c r="Q6" s="7"/>
      <c r="R6" s="7"/>
      <c r="S6" s="7"/>
      <c r="T6" s="7"/>
      <c r="U6" s="7">
        <f>J10</f>
        <v>120</v>
      </c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tr">
        <f t="shared" ref="P7:P13" si="0">E17</f>
        <v>Common Shares</v>
      </c>
      <c r="Q7" s="7"/>
      <c r="R7" s="7"/>
      <c r="S7" s="7"/>
      <c r="T7" s="7"/>
      <c r="U7" s="7">
        <f>J17</f>
        <v>9700</v>
      </c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85" t="s">
        <v>89</v>
      </c>
      <c r="D8" s="7"/>
      <c r="E8" s="7"/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 t="str">
        <f t="shared" si="0"/>
        <v>Preferred Shares</v>
      </c>
      <c r="Q8" s="7"/>
      <c r="R8" s="7"/>
      <c r="S8" s="7"/>
      <c r="T8" s="7"/>
      <c r="U8" s="7"/>
      <c r="V8" s="7">
        <f>J18</f>
        <v>240</v>
      </c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86" t="s">
        <v>90</v>
      </c>
      <c r="D9" s="87" t="s">
        <v>91</v>
      </c>
      <c r="E9" s="20"/>
      <c r="F9" s="20"/>
      <c r="G9" s="20"/>
      <c r="H9" s="20"/>
      <c r="I9" s="20"/>
      <c r="J9" s="88"/>
      <c r="K9" s="9"/>
      <c r="L9" s="7"/>
      <c r="M9" s="9"/>
      <c r="N9" s="8" t="s">
        <v>8</v>
      </c>
      <c r="O9" s="7"/>
      <c r="P9" s="7" t="str">
        <f t="shared" si="0"/>
        <v>Contributed Surplus</v>
      </c>
      <c r="Q9" s="7"/>
      <c r="R9" s="7"/>
      <c r="S9" s="7"/>
      <c r="T9" s="7"/>
      <c r="U9" s="7">
        <f>J19</f>
        <v>500</v>
      </c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89" t="s">
        <v>92</v>
      </c>
      <c r="D10" s="25"/>
      <c r="E10" s="25" t="s">
        <v>93</v>
      </c>
      <c r="F10" s="25"/>
      <c r="G10" s="25"/>
      <c r="H10" s="25"/>
      <c r="I10" s="25"/>
      <c r="J10" s="90">
        <v>120</v>
      </c>
      <c r="K10" s="9"/>
      <c r="L10" s="7"/>
      <c r="M10" s="9"/>
      <c r="N10" s="8" t="s">
        <v>8</v>
      </c>
      <c r="O10" s="7"/>
      <c r="P10" s="7" t="str">
        <f t="shared" si="0"/>
        <v xml:space="preserve">Other Capital </v>
      </c>
      <c r="Q10" s="7"/>
      <c r="R10" s="7"/>
      <c r="S10" s="7"/>
      <c r="T10" s="7"/>
      <c r="U10" s="7">
        <f>J20</f>
        <v>230</v>
      </c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89" t="s">
        <v>94</v>
      </c>
      <c r="D11" s="25"/>
      <c r="E11" s="25" t="s">
        <v>95</v>
      </c>
      <c r="F11" s="25"/>
      <c r="G11" s="25"/>
      <c r="H11" s="25"/>
      <c r="I11" s="25"/>
      <c r="J11" s="90">
        <v>17</v>
      </c>
      <c r="K11" s="9"/>
      <c r="L11" s="7"/>
      <c r="M11" s="9"/>
      <c r="N11" s="8" t="s">
        <v>8</v>
      </c>
      <c r="O11" s="7"/>
      <c r="P11" s="7" t="str">
        <f t="shared" si="0"/>
        <v>Retained Earnings</v>
      </c>
      <c r="Q11" s="7"/>
      <c r="R11" s="7"/>
      <c r="S11" s="7"/>
      <c r="T11" s="7"/>
      <c r="U11" s="7">
        <f>J21</f>
        <v>2000</v>
      </c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89" t="s">
        <v>96</v>
      </c>
      <c r="D12" s="25"/>
      <c r="E12" s="25" t="s">
        <v>97</v>
      </c>
      <c r="F12" s="25"/>
      <c r="G12" s="25"/>
      <c r="H12" s="25"/>
      <c r="I12" s="25"/>
      <c r="J12" s="90">
        <v>20</v>
      </c>
      <c r="K12" s="9"/>
      <c r="L12" s="7"/>
      <c r="M12" s="9"/>
      <c r="N12" s="8" t="s">
        <v>8</v>
      </c>
      <c r="O12" s="7"/>
      <c r="P12" s="7" t="str">
        <f t="shared" si="0"/>
        <v>Nuclear and Other Reserves</v>
      </c>
      <c r="Q12" s="7"/>
      <c r="R12" s="7"/>
      <c r="S12" s="7"/>
      <c r="T12" s="7"/>
      <c r="U12" s="7">
        <f>J22</f>
        <v>800</v>
      </c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89" t="s">
        <v>98</v>
      </c>
      <c r="D13" s="25"/>
      <c r="E13" s="25" t="s">
        <v>99</v>
      </c>
      <c r="F13" s="25"/>
      <c r="G13" s="25"/>
      <c r="H13" s="25"/>
      <c r="I13" s="25"/>
      <c r="J13" s="90">
        <v>18</v>
      </c>
      <c r="K13" s="9"/>
      <c r="L13" s="7"/>
      <c r="M13" s="9"/>
      <c r="N13" s="8" t="s">
        <v>8</v>
      </c>
      <c r="O13" s="7"/>
      <c r="P13" s="7" t="str">
        <f t="shared" si="0"/>
        <v>Accumulated Other Comprehensive Income (Loss)</v>
      </c>
      <c r="Q13" s="7"/>
      <c r="R13" s="7"/>
      <c r="S13" s="7"/>
      <c r="T13" s="7"/>
      <c r="U13" s="7">
        <f>J23</f>
        <v>2910</v>
      </c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1" t="s">
        <v>100</v>
      </c>
      <c r="D14" s="27"/>
      <c r="E14" s="27" t="s">
        <v>101</v>
      </c>
      <c r="F14" s="27"/>
      <c r="G14" s="27"/>
      <c r="H14" s="27"/>
      <c r="I14" s="27"/>
      <c r="J14" s="92">
        <v>20</v>
      </c>
      <c r="K14" s="9"/>
      <c r="L14" s="7"/>
      <c r="M14" s="9"/>
      <c r="N14" s="8" t="s">
        <v>8</v>
      </c>
      <c r="O14" s="7"/>
      <c r="P14" s="7" t="str">
        <f>D25</f>
        <v>Non-controlling Interests</v>
      </c>
      <c r="Q14" s="7"/>
      <c r="R14" s="7"/>
      <c r="S14" s="7"/>
      <c r="T14" s="7"/>
      <c r="U14" s="7">
        <f>IF(J28="met",J25,"")</f>
        <v>25</v>
      </c>
      <c r="V14" s="7" t="str">
        <f>IF(J28="not met",J25,"")</f>
        <v/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91" t="s">
        <v>102</v>
      </c>
      <c r="D15" s="93" t="s">
        <v>103</v>
      </c>
      <c r="E15" s="27"/>
      <c r="F15" s="27"/>
      <c r="G15" s="27"/>
      <c r="H15" s="27"/>
      <c r="I15" s="27"/>
      <c r="J15" s="94">
        <v>195</v>
      </c>
      <c r="K15" s="7"/>
      <c r="L15" s="7"/>
      <c r="M15" s="9"/>
      <c r="N15" s="8" t="s">
        <v>8</v>
      </c>
      <c r="O15" s="7"/>
      <c r="P15" s="7" t="str">
        <f>C31</f>
        <v>Category B capital</v>
      </c>
      <c r="U15" s="7">
        <f>J31</f>
        <v>6310</v>
      </c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86"/>
      <c r="D16" s="87" t="s">
        <v>104</v>
      </c>
      <c r="E16" s="20"/>
      <c r="F16" s="20"/>
      <c r="G16" s="20"/>
      <c r="H16" s="20"/>
      <c r="I16" s="20"/>
      <c r="J16" s="95"/>
      <c r="K16" s="7"/>
      <c r="L16" s="7"/>
      <c r="M16" s="9"/>
      <c r="N16" s="8" t="s">
        <v>8</v>
      </c>
      <c r="O16" s="7"/>
      <c r="P16" s="7" t="str">
        <f>C32</f>
        <v>Category C capital</v>
      </c>
      <c r="Q16" s="7"/>
      <c r="R16" s="7"/>
      <c r="S16" s="7"/>
      <c r="T16" s="7"/>
      <c r="U16" s="7">
        <f>J32</f>
        <v>1460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89" t="s">
        <v>105</v>
      </c>
      <c r="D17" s="25"/>
      <c r="E17" s="25" t="s">
        <v>106</v>
      </c>
      <c r="F17" s="25"/>
      <c r="G17" s="25"/>
      <c r="H17" s="25"/>
      <c r="I17" s="25"/>
      <c r="J17" s="96">
        <v>9700</v>
      </c>
      <c r="K17" s="7"/>
      <c r="L17" s="7"/>
      <c r="M17" s="9"/>
      <c r="N17" s="8" t="s">
        <v>8</v>
      </c>
      <c r="O17" s="7"/>
      <c r="P17" s="23"/>
      <c r="Q17" s="23"/>
      <c r="R17" s="23"/>
      <c r="S17" s="23"/>
      <c r="T17" s="97" t="s">
        <v>107</v>
      </c>
      <c r="U17" s="98">
        <f>SUM(U6:U16)</f>
        <v>24055</v>
      </c>
      <c r="V17" s="23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89" t="s">
        <v>108</v>
      </c>
      <c r="D18" s="25"/>
      <c r="E18" s="25" t="s">
        <v>109</v>
      </c>
      <c r="F18" s="25"/>
      <c r="G18" s="25"/>
      <c r="H18" s="25"/>
      <c r="I18" s="25"/>
      <c r="J18" s="96">
        <v>240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91" t="s">
        <v>110</v>
      </c>
      <c r="D19" s="27"/>
      <c r="E19" s="27" t="s">
        <v>111</v>
      </c>
      <c r="F19" s="27"/>
      <c r="G19" s="27"/>
      <c r="H19" s="27"/>
      <c r="I19" s="27"/>
      <c r="J19" s="94">
        <v>500</v>
      </c>
      <c r="K19" s="7"/>
      <c r="L19" s="7"/>
      <c r="M19" s="9"/>
      <c r="N19" s="8" t="s">
        <v>8</v>
      </c>
      <c r="O19" s="46" t="s">
        <v>112</v>
      </c>
      <c r="P19" s="7" t="s">
        <v>113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89" t="s">
        <v>114</v>
      </c>
      <c r="D20" s="25"/>
      <c r="E20" s="25" t="s">
        <v>115</v>
      </c>
      <c r="F20" s="25"/>
      <c r="G20" s="25"/>
      <c r="H20" s="25"/>
      <c r="I20" s="25"/>
      <c r="J20" s="96">
        <v>230</v>
      </c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89" t="s">
        <v>116</v>
      </c>
      <c r="D21" s="25"/>
      <c r="E21" s="25" t="s">
        <v>117</v>
      </c>
      <c r="F21" s="25"/>
      <c r="G21" s="25"/>
      <c r="H21" s="25"/>
      <c r="I21" s="25"/>
      <c r="J21" s="96">
        <v>2000</v>
      </c>
      <c r="K21" s="7"/>
      <c r="L21" s="7"/>
      <c r="M21" s="9"/>
      <c r="N21" s="8" t="s">
        <v>8</v>
      </c>
      <c r="O21" s="7"/>
      <c r="P21" s="27" t="s">
        <v>118</v>
      </c>
      <c r="Q21" s="27"/>
      <c r="R21" s="27"/>
      <c r="S21" s="27"/>
      <c r="T21" s="27"/>
      <c r="U21" s="64"/>
      <c r="V21" s="99">
        <f>U17</f>
        <v>24055</v>
      </c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89" t="s">
        <v>119</v>
      </c>
      <c r="D22" s="25"/>
      <c r="E22" s="25" t="s">
        <v>120</v>
      </c>
      <c r="F22" s="25"/>
      <c r="G22" s="25"/>
      <c r="H22" s="25"/>
      <c r="I22" s="25"/>
      <c r="J22" s="96">
        <v>800</v>
      </c>
      <c r="K22" s="7"/>
      <c r="L22" s="7"/>
      <c r="M22" s="9"/>
      <c r="N22" s="8" t="s">
        <v>8</v>
      </c>
      <c r="O22" s="7"/>
      <c r="P22" s="7" t="str">
        <f>C33</f>
        <v>Contractual service margin (CSM) for title insurance contracts</v>
      </c>
      <c r="Q22" s="7"/>
      <c r="R22" s="7"/>
      <c r="S22" s="7"/>
      <c r="T22" s="7"/>
      <c r="U22" s="7"/>
      <c r="V22" s="7">
        <f>J33</f>
        <v>680</v>
      </c>
      <c r="W22" s="49" t="s">
        <v>41</v>
      </c>
      <c r="X22" s="100" t="s">
        <v>121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91" t="s">
        <v>122</v>
      </c>
      <c r="D23" s="27"/>
      <c r="E23" s="27" t="s">
        <v>123</v>
      </c>
      <c r="F23" s="27"/>
      <c r="G23" s="27"/>
      <c r="H23" s="27"/>
      <c r="I23" s="27"/>
      <c r="J23" s="94">
        <v>2910</v>
      </c>
      <c r="K23" s="7"/>
      <c r="L23" s="7"/>
      <c r="M23" s="9"/>
      <c r="N23" s="8" t="s">
        <v>8</v>
      </c>
      <c r="O23" s="7"/>
      <c r="P23" s="27" t="str">
        <f>C34</f>
        <v>Adjustments to owner-occupied property valuations</v>
      </c>
      <c r="Q23" s="27"/>
      <c r="R23" s="27"/>
      <c r="S23" s="27"/>
      <c r="T23" s="27"/>
      <c r="U23" s="27"/>
      <c r="V23" s="27">
        <f>J34</f>
        <v>-130</v>
      </c>
      <c r="W23" s="49" t="s">
        <v>41</v>
      </c>
      <c r="X23" s="100" t="s">
        <v>124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89" t="s">
        <v>125</v>
      </c>
      <c r="D24" s="101" t="s">
        <v>126</v>
      </c>
      <c r="E24" s="25"/>
      <c r="F24" s="25"/>
      <c r="G24" s="25"/>
      <c r="H24" s="25"/>
      <c r="I24" s="25"/>
      <c r="J24" s="96">
        <v>16380</v>
      </c>
      <c r="K24" s="7"/>
      <c r="L24" s="7"/>
      <c r="M24" s="9"/>
      <c r="N24" s="8" t="s">
        <v>8</v>
      </c>
      <c r="O24" s="7"/>
      <c r="P24" s="7" t="str">
        <f>C35</f>
        <v>* Deduction for unregistered reinsurance</v>
      </c>
      <c r="Q24" s="7"/>
      <c r="R24" s="7"/>
      <c r="S24" s="7"/>
      <c r="T24" s="7"/>
      <c r="U24" s="7"/>
      <c r="V24" s="7">
        <f>J35</f>
        <v>2020</v>
      </c>
      <c r="W24" s="49" t="s">
        <v>41</v>
      </c>
      <c r="X24" s="21" t="s">
        <v>127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86" t="s">
        <v>128</v>
      </c>
      <c r="D25" s="87" t="s">
        <v>129</v>
      </c>
      <c r="E25" s="20"/>
      <c r="F25" s="20"/>
      <c r="G25" s="20"/>
      <c r="H25" s="20"/>
      <c r="I25" s="20"/>
      <c r="J25" s="102">
        <v>25</v>
      </c>
      <c r="K25" s="7"/>
      <c r="L25" s="7"/>
      <c r="M25" s="9"/>
      <c r="N25" s="8" t="s">
        <v>8</v>
      </c>
      <c r="O25" s="7"/>
      <c r="P25" s="7" t="str">
        <f>C36</f>
        <v>Interest in non-qualifying subsidiary with more than 10% ownership</v>
      </c>
      <c r="Q25" s="7"/>
      <c r="R25" s="7"/>
      <c r="S25" s="7"/>
      <c r="T25" s="7"/>
      <c r="U25" s="7"/>
      <c r="V25" s="7">
        <f>J36</f>
        <v>780</v>
      </c>
      <c r="W25" s="49" t="s">
        <v>41</v>
      </c>
      <c r="X25" s="21" t="s">
        <v>127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91" t="s">
        <v>130</v>
      </c>
      <c r="D26" s="93" t="s">
        <v>131</v>
      </c>
      <c r="E26" s="27"/>
      <c r="F26" s="27"/>
      <c r="G26" s="27"/>
      <c r="H26" s="27"/>
      <c r="I26" s="27"/>
      <c r="J26" s="94">
        <v>16600</v>
      </c>
      <c r="K26" s="7"/>
      <c r="L26" s="7"/>
      <c r="M26" s="9"/>
      <c r="N26" s="8" t="s">
        <v>8</v>
      </c>
      <c r="O26" s="7"/>
      <c r="P26" s="7" t="str">
        <f>C37</f>
        <v>Deferred tax assets</v>
      </c>
      <c r="Q26" s="7"/>
      <c r="R26" s="7"/>
      <c r="S26" s="7"/>
      <c r="T26" s="7"/>
      <c r="U26" s="7"/>
      <c r="V26" s="7">
        <f>J37</f>
        <v>300</v>
      </c>
      <c r="W26" s="49" t="s">
        <v>41</v>
      </c>
      <c r="X26" s="21" t="s">
        <v>127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23"/>
      <c r="Q27" s="23"/>
      <c r="R27" s="23"/>
      <c r="S27" s="23"/>
      <c r="T27" s="23"/>
      <c r="U27" s="23"/>
      <c r="V27" s="103">
        <f>V21+SUM(V22:V23)-SUM(V24:V26)</f>
        <v>21505</v>
      </c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 t="s">
        <v>132</v>
      </c>
      <c r="D28" s="7"/>
      <c r="E28" s="7"/>
      <c r="F28" s="7"/>
      <c r="G28" s="7"/>
      <c r="H28" s="7"/>
      <c r="I28" s="7"/>
      <c r="J28" s="8" t="s">
        <v>133</v>
      </c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48" t="s">
        <v>134</v>
      </c>
      <c r="P29" s="7" t="s">
        <v>135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6" t="s">
        <v>136</v>
      </c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2" t="s">
        <v>137</v>
      </c>
      <c r="D31" s="23"/>
      <c r="E31" s="23"/>
      <c r="F31" s="23"/>
      <c r="G31" s="23"/>
      <c r="H31" s="23"/>
      <c r="I31" s="58"/>
      <c r="J31" s="62">
        <v>6310</v>
      </c>
      <c r="K31" s="7"/>
      <c r="L31" s="7"/>
      <c r="M31" s="9"/>
      <c r="N31" s="8" t="s">
        <v>8</v>
      </c>
      <c r="O31" s="7"/>
      <c r="P31" s="66" t="s">
        <v>138</v>
      </c>
      <c r="Q31" s="8" t="s">
        <v>10</v>
      </c>
      <c r="R31" s="8">
        <f>J31</f>
        <v>6310</v>
      </c>
      <c r="S31" s="8" t="s">
        <v>18</v>
      </c>
      <c r="T31" s="8">
        <f>J32</f>
        <v>1460</v>
      </c>
      <c r="U31" s="8" t="s">
        <v>10</v>
      </c>
      <c r="V31" s="8">
        <f>R31+T31</f>
        <v>7770</v>
      </c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6" t="s">
        <v>139</v>
      </c>
      <c r="D32" s="27"/>
      <c r="E32" s="27"/>
      <c r="F32" s="27"/>
      <c r="G32" s="27"/>
      <c r="H32" s="27"/>
      <c r="I32" s="30"/>
      <c r="J32" s="29">
        <v>1460</v>
      </c>
      <c r="K32" s="7"/>
      <c r="L32" s="7"/>
      <c r="M32" s="9"/>
      <c r="N32" s="8" t="s">
        <v>8</v>
      </c>
      <c r="O32" s="7"/>
      <c r="P32" s="66" t="s">
        <v>58</v>
      </c>
      <c r="Q32" s="8" t="s">
        <v>10</v>
      </c>
      <c r="R32" s="8"/>
      <c r="S32" s="8"/>
      <c r="T32" s="8"/>
      <c r="U32" s="8" t="s">
        <v>10</v>
      </c>
      <c r="V32" s="8">
        <f>J32</f>
        <v>1460</v>
      </c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2" t="s">
        <v>140</v>
      </c>
      <c r="D33" s="23"/>
      <c r="E33" s="23"/>
      <c r="F33" s="23"/>
      <c r="G33" s="23"/>
      <c r="H33" s="23"/>
      <c r="I33" s="58"/>
      <c r="J33" s="62">
        <v>680</v>
      </c>
      <c r="K33" s="7"/>
      <c r="L33" s="7"/>
      <c r="M33" s="9"/>
      <c r="N33" s="8" t="s">
        <v>8</v>
      </c>
      <c r="O33" s="7"/>
      <c r="P33" s="8"/>
      <c r="Q33" s="8"/>
      <c r="R33" s="8"/>
      <c r="S33" s="8"/>
      <c r="T33" s="8"/>
      <c r="U33" s="8"/>
      <c r="V33" s="104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4" t="s">
        <v>141</v>
      </c>
      <c r="D34" s="25"/>
      <c r="E34" s="25"/>
      <c r="F34" s="25"/>
      <c r="G34" s="25"/>
      <c r="H34" s="25"/>
      <c r="I34" s="55"/>
      <c r="J34" s="28">
        <v>-130</v>
      </c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5" t="s">
        <v>142</v>
      </c>
      <c r="D35" s="106"/>
      <c r="E35" s="106"/>
      <c r="F35" s="106"/>
      <c r="G35" s="106"/>
      <c r="H35" s="106"/>
      <c r="I35" s="107"/>
      <c r="J35" s="28">
        <v>2020</v>
      </c>
      <c r="K35" s="7"/>
      <c r="L35" s="7"/>
      <c r="M35" s="9"/>
      <c r="N35" s="8" t="s">
        <v>8</v>
      </c>
      <c r="O35" s="7"/>
      <c r="P35" s="66" t="s">
        <v>143</v>
      </c>
      <c r="Q35" s="8" t="s">
        <v>10</v>
      </c>
      <c r="R35" s="8" t="s">
        <v>35</v>
      </c>
      <c r="S35" s="46" t="s">
        <v>144</v>
      </c>
      <c r="T35" s="8" t="s">
        <v>11</v>
      </c>
      <c r="U35" s="8" t="s">
        <v>145</v>
      </c>
      <c r="V35" s="8" t="s">
        <v>37</v>
      </c>
      <c r="W35" s="8" t="s">
        <v>146</v>
      </c>
      <c r="X35" s="104">
        <v>0.4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24" t="s">
        <v>147</v>
      </c>
      <c r="D36" s="25"/>
      <c r="E36" s="25"/>
      <c r="F36" s="25"/>
      <c r="G36" s="25"/>
      <c r="H36" s="25"/>
      <c r="I36" s="55"/>
      <c r="J36" s="28">
        <v>780</v>
      </c>
      <c r="K36" s="7"/>
      <c r="L36" s="7"/>
      <c r="M36" s="9"/>
      <c r="N36" s="8" t="s">
        <v>8</v>
      </c>
      <c r="O36" s="7"/>
      <c r="P36" s="7"/>
      <c r="Q36" s="8" t="s">
        <v>10</v>
      </c>
      <c r="R36" s="8" t="s">
        <v>35</v>
      </c>
      <c r="S36" s="46">
        <f>V27</f>
        <v>21505</v>
      </c>
      <c r="T36" s="8" t="s">
        <v>11</v>
      </c>
      <c r="U36" s="8">
        <f>J23</f>
        <v>2910</v>
      </c>
      <c r="V36" s="8" t="s">
        <v>37</v>
      </c>
      <c r="W36" s="8" t="s">
        <v>146</v>
      </c>
      <c r="X36" s="104">
        <v>0.4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26" t="s">
        <v>148</v>
      </c>
      <c r="D37" s="27"/>
      <c r="E37" s="27"/>
      <c r="F37" s="27"/>
      <c r="G37" s="27"/>
      <c r="H37" s="27"/>
      <c r="I37" s="30"/>
      <c r="J37" s="29">
        <v>300</v>
      </c>
      <c r="K37" s="7"/>
      <c r="L37" s="7"/>
      <c r="M37" s="9"/>
      <c r="N37" s="8" t="s">
        <v>8</v>
      </c>
      <c r="O37" s="7"/>
      <c r="P37" s="7"/>
      <c r="Q37" s="8" t="s">
        <v>10</v>
      </c>
      <c r="R37" s="108">
        <f>(S36-U36)*0.4</f>
        <v>7438</v>
      </c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 t="s">
        <v>149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 t="s">
        <v>150</v>
      </c>
      <c r="Q39" s="8" t="s">
        <v>10</v>
      </c>
      <c r="R39" s="8" t="s">
        <v>35</v>
      </c>
      <c r="S39" s="46" t="s">
        <v>144</v>
      </c>
      <c r="T39" s="8" t="s">
        <v>11</v>
      </c>
      <c r="U39" s="8" t="s">
        <v>145</v>
      </c>
      <c r="V39" s="8" t="s">
        <v>37</v>
      </c>
      <c r="W39" s="8" t="s">
        <v>146</v>
      </c>
      <c r="X39" s="104">
        <v>7.0000000000000007E-2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82" t="s">
        <v>151</v>
      </c>
      <c r="N40" s="8" t="s">
        <v>8</v>
      </c>
      <c r="O40" s="7"/>
      <c r="P40" s="7"/>
      <c r="Q40" s="8" t="s">
        <v>10</v>
      </c>
      <c r="R40" s="8" t="s">
        <v>35</v>
      </c>
      <c r="S40" s="46">
        <f>V27</f>
        <v>21505</v>
      </c>
      <c r="T40" s="8" t="s">
        <v>11</v>
      </c>
      <c r="U40" s="8">
        <f>J23</f>
        <v>2910</v>
      </c>
      <c r="V40" s="8" t="s">
        <v>37</v>
      </c>
      <c r="W40" s="8" t="s">
        <v>146</v>
      </c>
      <c r="X40" s="104">
        <v>7.0000000000000007E-2</v>
      </c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8" t="s">
        <v>10</v>
      </c>
      <c r="R41" s="108">
        <f>(S40-U40)*X40</f>
        <v>1301.6500000000001</v>
      </c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 t="s">
        <v>152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33" t="s">
        <v>153</v>
      </c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0"/>
      <c r="Q45" s="109" t="s">
        <v>154</v>
      </c>
      <c r="R45" s="109" t="s">
        <v>155</v>
      </c>
      <c r="S45" s="110" t="s">
        <v>154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111" t="s">
        <v>138</v>
      </c>
      <c r="Q46" s="7">
        <f>V31</f>
        <v>7770</v>
      </c>
      <c r="R46" s="7">
        <f>R37</f>
        <v>7438</v>
      </c>
      <c r="S46" s="32">
        <f>MAX(Q46-R46,0)</f>
        <v>332</v>
      </c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55" t="s">
        <v>58</v>
      </c>
      <c r="Q47" s="7">
        <f>V32</f>
        <v>1460</v>
      </c>
      <c r="R47" s="7">
        <f>R41</f>
        <v>1301.6500000000001</v>
      </c>
      <c r="S47" s="32">
        <f>MAX(Q47-R47,0)</f>
        <v>158.34999999999991</v>
      </c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58"/>
      <c r="Q48" s="23"/>
      <c r="R48" s="23"/>
      <c r="S48" s="112">
        <f>MAX(S46:S47)</f>
        <v>332</v>
      </c>
      <c r="T48" s="54" t="s">
        <v>41</v>
      </c>
      <c r="U48" s="21" t="s">
        <v>156</v>
      </c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19" t="s">
        <v>157</v>
      </c>
      <c r="Q50" s="20"/>
      <c r="R50" s="20"/>
      <c r="S50" s="51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8" t="s">
        <v>10</v>
      </c>
      <c r="Q52" s="46" t="s">
        <v>144</v>
      </c>
      <c r="R52" s="8" t="s">
        <v>11</v>
      </c>
      <c r="S52" s="7" t="s">
        <v>158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8" t="s">
        <v>10</v>
      </c>
      <c r="Q53" s="8">
        <f>V27</f>
        <v>21505</v>
      </c>
      <c r="R53" s="8" t="s">
        <v>11</v>
      </c>
      <c r="S53" s="67">
        <f>S48</f>
        <v>332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8" t="s">
        <v>10</v>
      </c>
      <c r="Q54" s="48">
        <f>Q53-S53</f>
        <v>21173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113" t="s">
        <v>159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J28">
    <cfRule type="cellIs" dxfId="3" priority="1" operator="equal">
      <formula>"met"</formula>
    </cfRule>
    <cfRule type="cellIs" dxfId="2" priority="2" operator="equal">
      <formula>"not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160</v>
      </c>
      <c r="N3" s="18" t="s">
        <v>8</v>
      </c>
      <c r="O3" s="117" t="s">
        <v>161</v>
      </c>
      <c r="P3" s="6" t="s">
        <v>162</v>
      </c>
      <c r="V3" s="118" t="s">
        <v>163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164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41" t="s">
        <v>27</v>
      </c>
      <c r="P5" s="6" t="s">
        <v>165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16" t="s">
        <v>166</v>
      </c>
      <c r="D7" s="119"/>
      <c r="E7" s="119"/>
      <c r="F7" s="120"/>
      <c r="G7" s="120"/>
      <c r="H7" s="120"/>
      <c r="I7" s="120"/>
      <c r="J7" s="7"/>
      <c r="K7" s="7"/>
      <c r="L7" s="7"/>
      <c r="M7" s="7"/>
      <c r="N7" s="8" t="s">
        <v>8</v>
      </c>
      <c r="O7" s="7"/>
      <c r="P7" s="121" t="s">
        <v>167</v>
      </c>
      <c r="Q7" s="122" t="s">
        <v>168</v>
      </c>
      <c r="R7" s="119"/>
      <c r="S7" s="121"/>
      <c r="T7" s="121" t="s">
        <v>169</v>
      </c>
      <c r="U7" s="121" t="s">
        <v>170</v>
      </c>
      <c r="V7" s="120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123" t="s">
        <v>171</v>
      </c>
      <c r="D8" s="124" t="s">
        <v>172</v>
      </c>
      <c r="E8" s="125"/>
      <c r="F8" s="123" t="s">
        <v>173</v>
      </c>
      <c r="G8" s="126" t="s">
        <v>174</v>
      </c>
      <c r="H8" s="127"/>
      <c r="I8" s="128"/>
      <c r="J8" s="7"/>
      <c r="K8" s="7"/>
      <c r="L8" s="7"/>
      <c r="M8" s="7"/>
      <c r="N8" s="8" t="s">
        <v>8</v>
      </c>
      <c r="O8" s="7"/>
      <c r="P8" s="123" t="s">
        <v>171</v>
      </c>
      <c r="Q8" s="124" t="s">
        <v>172</v>
      </c>
      <c r="R8" s="125"/>
      <c r="S8" s="123" t="s">
        <v>175</v>
      </c>
      <c r="T8" s="126" t="s">
        <v>174</v>
      </c>
      <c r="U8" s="127"/>
      <c r="V8" s="128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129"/>
      <c r="D9" s="123" t="s">
        <v>176</v>
      </c>
      <c r="E9" s="123" t="s">
        <v>177</v>
      </c>
      <c r="F9" s="129"/>
      <c r="G9" s="130" t="s">
        <v>178</v>
      </c>
      <c r="H9" s="130" t="s">
        <v>179</v>
      </c>
      <c r="I9" s="130" t="s">
        <v>180</v>
      </c>
      <c r="J9" s="7"/>
      <c r="K9" s="7"/>
      <c r="L9" s="7"/>
      <c r="M9" s="7"/>
      <c r="N9" s="8" t="s">
        <v>8</v>
      </c>
      <c r="O9" s="7"/>
      <c r="P9" s="129"/>
      <c r="Q9" s="123" t="s">
        <v>176</v>
      </c>
      <c r="R9" s="123" t="s">
        <v>177</v>
      </c>
      <c r="S9" s="129"/>
      <c r="T9" s="130" t="s">
        <v>178</v>
      </c>
      <c r="U9" s="130" t="s">
        <v>179</v>
      </c>
      <c r="V9" s="130" t="s">
        <v>180</v>
      </c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129"/>
      <c r="D10" s="129"/>
      <c r="E10" s="129"/>
      <c r="F10" s="129"/>
      <c r="G10" s="131"/>
      <c r="H10" s="131"/>
      <c r="I10" s="131"/>
      <c r="J10" s="7"/>
      <c r="K10" s="7"/>
      <c r="L10" s="7"/>
      <c r="M10" s="7"/>
      <c r="N10" s="8" t="s">
        <v>8</v>
      </c>
      <c r="O10" s="7"/>
      <c r="P10" s="129"/>
      <c r="Q10" s="129"/>
      <c r="R10" s="129"/>
      <c r="S10" s="129"/>
      <c r="T10" s="131"/>
      <c r="U10" s="131"/>
      <c r="V10" s="131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132" t="s">
        <v>181</v>
      </c>
      <c r="D11" s="132" t="s">
        <v>182</v>
      </c>
      <c r="E11" s="132" t="s">
        <v>183</v>
      </c>
      <c r="F11" s="132" t="s">
        <v>184</v>
      </c>
      <c r="G11" s="133" t="s">
        <v>185</v>
      </c>
      <c r="H11" s="133" t="s">
        <v>186</v>
      </c>
      <c r="I11" s="133" t="s">
        <v>187</v>
      </c>
      <c r="J11" s="7"/>
      <c r="K11" s="7"/>
      <c r="L11" s="7"/>
      <c r="M11" s="7"/>
      <c r="N11" s="8" t="s">
        <v>8</v>
      </c>
      <c r="O11" s="7"/>
      <c r="P11" s="132" t="s">
        <v>181</v>
      </c>
      <c r="Q11" s="134" t="s">
        <v>182</v>
      </c>
      <c r="R11" s="132" t="s">
        <v>183</v>
      </c>
      <c r="S11" s="132" t="s">
        <v>184</v>
      </c>
      <c r="T11" s="133" t="s">
        <v>185</v>
      </c>
      <c r="U11" s="133" t="s">
        <v>186</v>
      </c>
      <c r="V11" s="133" t="s">
        <v>187</v>
      </c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135">
        <v>3000</v>
      </c>
      <c r="D12" s="135">
        <v>11300</v>
      </c>
      <c r="E12" s="135">
        <v>5900</v>
      </c>
      <c r="F12" s="135">
        <v>20200</v>
      </c>
      <c r="G12" s="135">
        <v>2850</v>
      </c>
      <c r="H12" s="135">
        <v>6100</v>
      </c>
      <c r="I12" s="135">
        <v>-3250</v>
      </c>
      <c r="J12" s="7"/>
      <c r="K12" s="9"/>
      <c r="L12" s="9"/>
      <c r="M12" s="9"/>
      <c r="N12" s="8" t="s">
        <v>8</v>
      </c>
      <c r="O12" s="7"/>
      <c r="P12" s="135">
        <f t="shared" ref="P12:V12" si="0">C12</f>
        <v>3000</v>
      </c>
      <c r="Q12" s="135">
        <f t="shared" si="0"/>
        <v>11300</v>
      </c>
      <c r="R12" s="135">
        <f t="shared" si="0"/>
        <v>5900</v>
      </c>
      <c r="S12" s="135">
        <f t="shared" si="0"/>
        <v>20200</v>
      </c>
      <c r="T12" s="135">
        <f t="shared" si="0"/>
        <v>2850</v>
      </c>
      <c r="U12" s="135">
        <f t="shared" si="0"/>
        <v>6100</v>
      </c>
      <c r="V12" s="135">
        <f t="shared" si="0"/>
        <v>-3250</v>
      </c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121"/>
      <c r="D14" s="121"/>
      <c r="E14" s="121"/>
      <c r="F14" s="121"/>
      <c r="G14" s="121"/>
      <c r="H14" s="7"/>
      <c r="I14" s="7"/>
      <c r="J14" s="7"/>
      <c r="K14" s="9"/>
      <c r="L14" s="9"/>
      <c r="M14" s="9"/>
      <c r="N14" s="8" t="s">
        <v>8</v>
      </c>
      <c r="O14" s="7"/>
      <c r="P14" s="121"/>
      <c r="Q14" s="121"/>
      <c r="R14" s="121"/>
      <c r="S14" s="121"/>
      <c r="T14" s="121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166</v>
      </c>
      <c r="D15" s="121"/>
      <c r="E15" s="121"/>
      <c r="F15" s="121"/>
      <c r="G15" s="121"/>
      <c r="H15" s="7"/>
      <c r="I15" s="7"/>
      <c r="J15" s="7"/>
      <c r="K15" s="7"/>
      <c r="L15" s="7"/>
      <c r="M15" s="9"/>
      <c r="N15" s="8" t="s">
        <v>8</v>
      </c>
      <c r="O15" s="7"/>
      <c r="P15" s="121" t="s">
        <v>188</v>
      </c>
      <c r="Q15" s="121" t="s">
        <v>189</v>
      </c>
      <c r="R15" s="121" t="s">
        <v>190</v>
      </c>
      <c r="S15" s="121" t="s">
        <v>54</v>
      </c>
      <c r="T15" s="121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36" t="s">
        <v>191</v>
      </c>
      <c r="D16" s="137"/>
      <c r="E16" s="138"/>
      <c r="F16" s="139"/>
      <c r="G16" s="140"/>
      <c r="H16" s="7"/>
      <c r="I16" s="7"/>
      <c r="J16" s="7"/>
      <c r="K16" s="7"/>
      <c r="L16" s="7"/>
      <c r="M16" s="9"/>
      <c r="N16" s="8" t="s">
        <v>8</v>
      </c>
      <c r="O16" s="7"/>
      <c r="P16" s="136" t="s">
        <v>191</v>
      </c>
      <c r="Q16" s="137"/>
      <c r="R16" s="138"/>
      <c r="S16" s="139"/>
      <c r="T16" s="140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41" t="s">
        <v>192</v>
      </c>
      <c r="D17" s="141" t="s">
        <v>193</v>
      </c>
      <c r="E17" s="141" t="s">
        <v>194</v>
      </c>
      <c r="F17" s="141" t="s">
        <v>195</v>
      </c>
      <c r="G17" s="142" t="s">
        <v>196</v>
      </c>
      <c r="H17" s="7"/>
      <c r="I17" s="7"/>
      <c r="J17" s="7"/>
      <c r="K17" s="7"/>
      <c r="L17" s="7"/>
      <c r="M17" s="9"/>
      <c r="N17" s="8" t="s">
        <v>8</v>
      </c>
      <c r="O17" s="7"/>
      <c r="P17" s="141" t="s">
        <v>192</v>
      </c>
      <c r="Q17" s="141" t="s">
        <v>193</v>
      </c>
      <c r="R17" s="141" t="s">
        <v>194</v>
      </c>
      <c r="S17" s="141" t="s">
        <v>195</v>
      </c>
      <c r="T17" s="142" t="s">
        <v>196</v>
      </c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33" t="s">
        <v>197</v>
      </c>
      <c r="D18" s="133" t="s">
        <v>198</v>
      </c>
      <c r="E18" s="133" t="s">
        <v>199</v>
      </c>
      <c r="F18" s="133" t="s">
        <v>200</v>
      </c>
      <c r="G18" s="133" t="s">
        <v>201</v>
      </c>
      <c r="H18" s="7"/>
      <c r="I18" s="7"/>
      <c r="J18" s="7"/>
      <c r="K18" s="7"/>
      <c r="L18" s="7"/>
      <c r="M18" s="9"/>
      <c r="N18" s="8" t="s">
        <v>8</v>
      </c>
      <c r="O18" s="7"/>
      <c r="P18" s="133" t="s">
        <v>197</v>
      </c>
      <c r="Q18" s="133" t="s">
        <v>198</v>
      </c>
      <c r="R18" s="133" t="s">
        <v>199</v>
      </c>
      <c r="S18" s="133" t="s">
        <v>200</v>
      </c>
      <c r="T18" s="133" t="s">
        <v>201</v>
      </c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35">
        <v>4900</v>
      </c>
      <c r="D19" s="135">
        <v>200</v>
      </c>
      <c r="E19" s="135">
        <v>800</v>
      </c>
      <c r="F19" s="135">
        <v>5100</v>
      </c>
      <c r="G19" s="135">
        <v>11000</v>
      </c>
      <c r="H19" s="7"/>
      <c r="I19" s="7"/>
      <c r="J19" s="7"/>
      <c r="K19" s="7"/>
      <c r="L19" s="7"/>
      <c r="M19" s="9"/>
      <c r="N19" s="8" t="s">
        <v>8</v>
      </c>
      <c r="O19" s="7"/>
      <c r="P19" s="135">
        <f>C19</f>
        <v>4900</v>
      </c>
      <c r="Q19" s="135">
        <f>D19</f>
        <v>200</v>
      </c>
      <c r="R19" s="135">
        <f>E19</f>
        <v>800</v>
      </c>
      <c r="S19" s="135">
        <f>F19</f>
        <v>5100</v>
      </c>
      <c r="T19" s="135">
        <f>G19</f>
        <v>11000</v>
      </c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J21" s="7"/>
      <c r="K21" s="7"/>
      <c r="L21" s="7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202</v>
      </c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46" t="s">
        <v>144</v>
      </c>
      <c r="P22" s="6" t="s">
        <v>203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22" t="s">
        <v>204</v>
      </c>
      <c r="D24" s="23"/>
      <c r="E24" s="23"/>
      <c r="F24" s="58"/>
      <c r="G24" s="62">
        <v>120</v>
      </c>
      <c r="H24" s="143" t="s">
        <v>41</v>
      </c>
      <c r="I24" s="21" t="s">
        <v>205</v>
      </c>
      <c r="J24" s="7"/>
      <c r="K24" s="7"/>
      <c r="L24" s="7"/>
      <c r="M24" s="9"/>
      <c r="N24" s="8" t="s">
        <v>8</v>
      </c>
      <c r="P24" s="18" t="s">
        <v>206</v>
      </c>
      <c r="Q24" s="18" t="s">
        <v>10</v>
      </c>
      <c r="R24" s="144">
        <v>0.3</v>
      </c>
      <c r="S24" s="18" t="s">
        <v>146</v>
      </c>
      <c r="T24" s="18" t="s">
        <v>207</v>
      </c>
      <c r="U24" s="8"/>
      <c r="V24" s="8"/>
      <c r="W24" s="8"/>
      <c r="X24" s="8"/>
      <c r="Y24" s="7"/>
      <c r="Z24" s="7"/>
      <c r="AA24" s="7"/>
      <c r="AB24" s="8" t="s">
        <v>8</v>
      </c>
      <c r="AC24" s="9"/>
    </row>
    <row r="25" spans="3:29" ht="15" customHeight="1" x14ac:dyDescent="0.25">
      <c r="C25" s="26" t="s">
        <v>208</v>
      </c>
      <c r="D25" s="27"/>
      <c r="E25" s="27"/>
      <c r="F25" s="30"/>
      <c r="G25" s="29">
        <v>141</v>
      </c>
      <c r="H25" s="143" t="s">
        <v>41</v>
      </c>
      <c r="I25" s="21" t="s">
        <v>209</v>
      </c>
      <c r="J25" s="7"/>
      <c r="K25" s="7"/>
      <c r="L25" s="7"/>
      <c r="M25" s="9"/>
      <c r="N25" s="8" t="s">
        <v>8</v>
      </c>
      <c r="Q25" s="18" t="s">
        <v>10</v>
      </c>
      <c r="R25" s="144">
        <v>0.3</v>
      </c>
      <c r="S25" s="18" t="s">
        <v>146</v>
      </c>
      <c r="T25" s="8">
        <f>P12+G24+G25+Q12</f>
        <v>14561</v>
      </c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Q26" s="18" t="s">
        <v>10</v>
      </c>
      <c r="R26" s="8">
        <f>R25*T25</f>
        <v>4368.3</v>
      </c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16" t="s">
        <v>210</v>
      </c>
      <c r="D27" s="7"/>
      <c r="E27" s="7"/>
      <c r="F27" s="7"/>
      <c r="G27" s="7"/>
      <c r="H27" s="7"/>
      <c r="I27" s="7"/>
      <c r="J27" s="7"/>
      <c r="K27" s="7"/>
      <c r="L27" s="7"/>
      <c r="M27" s="9"/>
      <c r="N27" s="8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K28" s="7"/>
      <c r="L28" s="7"/>
      <c r="M28" s="9"/>
      <c r="N28" s="8" t="s">
        <v>8</v>
      </c>
      <c r="P28" s="18" t="s">
        <v>211</v>
      </c>
      <c r="Q28" s="18" t="str">
        <f>IF(S19&lt;=R26,"does not","does")</f>
        <v>does</v>
      </c>
      <c r="R28" s="145" t="s">
        <v>212</v>
      </c>
      <c r="S28" s="145"/>
      <c r="T28" s="146" t="str">
        <f>IF(Q28="does","==&gt;","")</f>
        <v>==&gt;</v>
      </c>
      <c r="U28" s="8" t="str">
        <f>IF(Q28="does","subsititue","")</f>
        <v>subsititue</v>
      </c>
      <c r="V28" s="8">
        <f>IF(Q28="does",R26,"")</f>
        <v>4368.3</v>
      </c>
      <c r="W28" s="8" t="str">
        <f>IF(Q28="does","for I","")</f>
        <v>for I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147" t="s">
        <v>213</v>
      </c>
      <c r="D29" s="23"/>
      <c r="E29" s="23"/>
      <c r="F29" s="23"/>
      <c r="G29" s="23"/>
      <c r="H29" s="23"/>
      <c r="I29" s="23"/>
      <c r="J29" s="58"/>
      <c r="K29" s="7"/>
      <c r="L29" s="7"/>
      <c r="M29" s="9"/>
      <c r="N29" s="8" t="s">
        <v>8</v>
      </c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48" t="s">
        <v>214</v>
      </c>
      <c r="D30" s="25"/>
      <c r="E30" s="25"/>
      <c r="F30" s="25"/>
      <c r="G30" s="25"/>
      <c r="H30" s="25"/>
      <c r="I30" s="25"/>
      <c r="J30" s="55"/>
      <c r="K30" s="7"/>
      <c r="L30" s="7"/>
      <c r="M30" s="9"/>
      <c r="N30" s="8" t="s">
        <v>8</v>
      </c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4" t="s">
        <v>215</v>
      </c>
      <c r="D31" s="25"/>
      <c r="E31" s="25"/>
      <c r="F31" s="25"/>
      <c r="G31" s="25"/>
      <c r="H31" s="25"/>
      <c r="I31" s="25"/>
      <c r="J31" s="55"/>
      <c r="K31" s="7"/>
      <c r="L31" s="7"/>
      <c r="M31" s="9"/>
      <c r="N31" s="8" t="s">
        <v>8</v>
      </c>
      <c r="O31" s="48" t="s">
        <v>216</v>
      </c>
      <c r="P31" s="7" t="s">
        <v>217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4" t="s">
        <v>218</v>
      </c>
      <c r="D32" s="25"/>
      <c r="E32" s="25"/>
      <c r="F32" s="25"/>
      <c r="G32" s="25"/>
      <c r="H32" s="25"/>
      <c r="I32" s="25"/>
      <c r="J32" s="55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4" t="s">
        <v>219</v>
      </c>
      <c r="D33" s="25"/>
      <c r="E33" s="25"/>
      <c r="F33" s="25"/>
      <c r="G33" s="25"/>
      <c r="H33" s="25"/>
      <c r="I33" s="25"/>
      <c r="J33" s="55"/>
      <c r="K33" s="7"/>
      <c r="L33" s="7"/>
      <c r="M33" s="9"/>
      <c r="N33" s="8" t="s">
        <v>8</v>
      </c>
      <c r="O33" s="7"/>
      <c r="P33" s="8" t="s">
        <v>127</v>
      </c>
      <c r="Q33" s="8" t="s">
        <v>10</v>
      </c>
      <c r="R33" s="66" t="s">
        <v>220</v>
      </c>
      <c r="S33" s="8"/>
      <c r="T33" s="8"/>
      <c r="U33" s="149" t="s">
        <v>221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6" t="s">
        <v>222</v>
      </c>
      <c r="D34" s="27"/>
      <c r="E34" s="27"/>
      <c r="F34" s="27"/>
      <c r="G34" s="27"/>
      <c r="H34" s="27"/>
      <c r="I34" s="27"/>
      <c r="J34" s="30"/>
      <c r="K34" s="7"/>
      <c r="L34" s="7"/>
      <c r="M34" s="9"/>
      <c r="N34" s="8" t="s">
        <v>8</v>
      </c>
      <c r="O34" s="7"/>
      <c r="P34" s="7"/>
      <c r="Q34" s="8" t="s">
        <v>10</v>
      </c>
      <c r="R34" s="66">
        <f>SUM(P12+G24+G25+Q12+T12) - SUM(U12+P19+Q19+R19+MIN(S19,R26))</f>
        <v>1042.7000000000007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P36" s="6" t="s">
        <v>223</v>
      </c>
      <c r="T36" s="48">
        <f>MAX(0,R34)</f>
        <v>1042.7000000000007</v>
      </c>
      <c r="U36" s="21" t="s">
        <v>224</v>
      </c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mergeCells count="18">
    <mergeCell ref="U9:U10"/>
    <mergeCell ref="V9:V10"/>
    <mergeCell ref="S8:S10"/>
    <mergeCell ref="T8:V8"/>
    <mergeCell ref="D9:D10"/>
    <mergeCell ref="E9:E10"/>
    <mergeCell ref="G9:G10"/>
    <mergeCell ref="H9:H10"/>
    <mergeCell ref="I9:I10"/>
    <mergeCell ref="Q9:Q10"/>
    <mergeCell ref="R9:R10"/>
    <mergeCell ref="T9:T10"/>
    <mergeCell ref="C8:C10"/>
    <mergeCell ref="D8:E8"/>
    <mergeCell ref="F8:F10"/>
    <mergeCell ref="G8:I8"/>
    <mergeCell ref="P8:P10"/>
    <mergeCell ref="Q8:R8"/>
  </mergeCells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8" t="s">
        <v>8</v>
      </c>
      <c r="O2" s="150" t="s">
        <v>225</v>
      </c>
      <c r="P2" s="15"/>
      <c r="Q2" s="15"/>
      <c r="R2" s="15"/>
      <c r="S2" s="15"/>
      <c r="T2" s="15"/>
      <c r="U2" s="15"/>
      <c r="V2" s="15"/>
      <c r="W2" s="15"/>
      <c r="X2" s="151"/>
      <c r="AB2" s="18" t="s">
        <v>8</v>
      </c>
    </row>
    <row r="3" spans="1:29" ht="15" customHeight="1" x14ac:dyDescent="0.25">
      <c r="A3" s="5" t="s">
        <v>5</v>
      </c>
      <c r="C3" s="6" t="s">
        <v>344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41" t="s">
        <v>226</v>
      </c>
      <c r="P4" s="152"/>
      <c r="Q4" s="152"/>
      <c r="AB4" s="8" t="s">
        <v>8</v>
      </c>
      <c r="AC4" s="9"/>
    </row>
    <row r="5" spans="1:29" ht="15" customHeight="1" x14ac:dyDescent="0.25">
      <c r="A5" s="16" t="s">
        <v>9</v>
      </c>
      <c r="C5" s="7" t="s">
        <v>227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6" t="s">
        <v>228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6" t="s">
        <v>229</v>
      </c>
      <c r="R6" s="8" t="s">
        <v>146</v>
      </c>
      <c r="S6" s="6" t="s">
        <v>230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22" t="s">
        <v>231</v>
      </c>
      <c r="D7" s="23"/>
      <c r="E7" s="23"/>
      <c r="F7" s="23"/>
      <c r="G7" s="23"/>
      <c r="H7" s="23"/>
      <c r="I7" s="58"/>
      <c r="J7" s="62">
        <v>1110</v>
      </c>
      <c r="K7" s="7"/>
      <c r="L7" s="7"/>
      <c r="M7" s="9"/>
      <c r="N7" s="8" t="s">
        <v>8</v>
      </c>
      <c r="O7" s="7"/>
      <c r="P7" s="8" t="s">
        <v>10</v>
      </c>
      <c r="Q7" s="153">
        <f>J11</f>
        <v>0.12</v>
      </c>
      <c r="R7" s="8" t="s">
        <v>146</v>
      </c>
      <c r="S7" s="66" t="str">
        <f>"[ (" &amp; J7 &amp; " - " &amp; J9 &amp;")"</f>
        <v>[ (1110 - 155.4)</v>
      </c>
      <c r="T7" s="7"/>
      <c r="U7" s="8" t="s">
        <v>11</v>
      </c>
      <c r="V7" s="7" t="str">
        <f>"(" &amp; J8 &amp; " - " &amp; J10 &amp; ") ]"</f>
        <v>(210 - 31.5) ]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6" t="s">
        <v>232</v>
      </c>
      <c r="D8" s="27"/>
      <c r="E8" s="27"/>
      <c r="F8" s="27"/>
      <c r="G8" s="27"/>
      <c r="H8" s="27"/>
      <c r="I8" s="30"/>
      <c r="J8" s="29">
        <v>210</v>
      </c>
      <c r="K8" s="9"/>
      <c r="L8" s="9"/>
      <c r="M8" s="9"/>
      <c r="N8" s="8" t="s">
        <v>8</v>
      </c>
      <c r="O8" s="7"/>
      <c r="P8" s="8" t="s">
        <v>10</v>
      </c>
      <c r="Q8" s="154">
        <f>Q7*(J7-J9-(J8-J10))</f>
        <v>93.132000000000005</v>
      </c>
      <c r="R8" s="7"/>
      <c r="S8" s="7"/>
      <c r="T8" s="7"/>
      <c r="U8" s="7"/>
      <c r="V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233</v>
      </c>
      <c r="D9" s="25"/>
      <c r="E9" s="25"/>
      <c r="F9" s="25"/>
      <c r="G9" s="25"/>
      <c r="H9" s="25"/>
      <c r="I9" s="55"/>
      <c r="J9" s="28">
        <v>155.4</v>
      </c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" t="s">
        <v>234</v>
      </c>
      <c r="D10" s="27"/>
      <c r="E10" s="27"/>
      <c r="F10" s="27"/>
      <c r="G10" s="27"/>
      <c r="H10" s="27"/>
      <c r="I10" s="30"/>
      <c r="J10" s="29">
        <v>31.5</v>
      </c>
      <c r="K10" s="9"/>
      <c r="L10" s="9"/>
      <c r="M10" s="9"/>
      <c r="N10" s="8" t="s">
        <v>8</v>
      </c>
      <c r="AA10" s="7"/>
      <c r="AB10" s="8" t="s">
        <v>8</v>
      </c>
      <c r="AC10" s="9"/>
    </row>
    <row r="11" spans="1:29" ht="15" customHeight="1" x14ac:dyDescent="0.25">
      <c r="A11" s="9"/>
      <c r="B11" s="9"/>
      <c r="C11" s="26" t="s">
        <v>235</v>
      </c>
      <c r="D11" s="27"/>
      <c r="E11" s="27"/>
      <c r="F11" s="27"/>
      <c r="G11" s="27"/>
      <c r="H11" s="27"/>
      <c r="I11" s="30"/>
      <c r="J11" s="155">
        <v>0.12</v>
      </c>
      <c r="K11" s="9"/>
      <c r="L11" s="9"/>
      <c r="M11" s="9"/>
      <c r="N11" s="8" t="s">
        <v>8</v>
      </c>
      <c r="O11" s="156" t="s">
        <v>236</v>
      </c>
      <c r="P11" s="156"/>
      <c r="Q11" s="156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 t="s">
        <v>237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2" t="s">
        <v>238</v>
      </c>
      <c r="D13" s="23"/>
      <c r="E13" s="23"/>
      <c r="F13" s="23"/>
      <c r="G13" s="23"/>
      <c r="H13" s="23"/>
      <c r="I13" s="58"/>
      <c r="J13" s="62">
        <v>100</v>
      </c>
      <c r="K13" s="9"/>
      <c r="L13" s="9"/>
      <c r="M13" s="9"/>
      <c r="N13" s="8" t="s">
        <v>8</v>
      </c>
      <c r="O13" s="7"/>
      <c r="P13" s="8" t="s">
        <v>10</v>
      </c>
      <c r="Q13" s="6" t="s">
        <v>229</v>
      </c>
      <c r="R13" s="8" t="s">
        <v>146</v>
      </c>
      <c r="S13" s="7" t="s">
        <v>239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240</v>
      </c>
      <c r="D14" s="25"/>
      <c r="E14" s="25"/>
      <c r="F14" s="25"/>
      <c r="G14" s="25"/>
      <c r="H14" s="25"/>
      <c r="I14" s="55"/>
      <c r="J14" s="28">
        <v>46</v>
      </c>
      <c r="K14" s="9"/>
      <c r="L14" s="9"/>
      <c r="M14" s="9"/>
      <c r="N14" s="8" t="s">
        <v>8</v>
      </c>
      <c r="O14" s="7"/>
      <c r="P14" s="8" t="s">
        <v>10</v>
      </c>
      <c r="Q14" s="153">
        <f>J16</f>
        <v>0.2</v>
      </c>
      <c r="R14" s="8" t="s">
        <v>146</v>
      </c>
      <c r="S14" s="7" t="str">
        <f>"MAX [ ( " &amp; J13 &amp; " - " &amp; J14 &amp; ") , 30% x" &amp; J15 &amp; ") ]"</f>
        <v>MAX [ ( 100 - 46) , 30% x1210) ]</v>
      </c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241</v>
      </c>
      <c r="D15" s="27"/>
      <c r="E15" s="27"/>
      <c r="F15" s="27"/>
      <c r="G15" s="27"/>
      <c r="H15" s="27"/>
      <c r="I15" s="30"/>
      <c r="J15" s="29">
        <v>1210</v>
      </c>
      <c r="K15" s="7"/>
      <c r="L15" s="7"/>
      <c r="M15" s="9"/>
      <c r="N15" s="8" t="s">
        <v>8</v>
      </c>
      <c r="O15" s="7"/>
      <c r="P15" s="8" t="s">
        <v>10</v>
      </c>
      <c r="Q15" s="153">
        <f>J16</f>
        <v>0.2</v>
      </c>
      <c r="R15" s="8" t="s">
        <v>146</v>
      </c>
      <c r="S15" s="7" t="str">
        <f>"MAX [ " &amp; J13-J14 &amp; " , " &amp; 0.3*J15 &amp; " ]"</f>
        <v>MAX [ 54 , 363 ]</v>
      </c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" t="s">
        <v>242</v>
      </c>
      <c r="D16" s="27"/>
      <c r="E16" s="27"/>
      <c r="F16" s="27"/>
      <c r="G16" s="27"/>
      <c r="H16" s="27"/>
      <c r="I16" s="30"/>
      <c r="J16" s="155">
        <v>0.2</v>
      </c>
      <c r="K16" s="7"/>
      <c r="L16" s="7"/>
      <c r="M16" s="9"/>
      <c r="N16" s="8" t="s">
        <v>8</v>
      </c>
      <c r="O16" s="7"/>
      <c r="P16" s="8" t="s">
        <v>10</v>
      </c>
      <c r="Q16" s="157">
        <f>Q15*MAX(J13-J14,0.3*J15)</f>
        <v>72.600000000000009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58" t="s">
        <v>243</v>
      </c>
      <c r="D18" s="159"/>
      <c r="E18" s="159"/>
      <c r="F18" s="159"/>
      <c r="G18" s="159"/>
      <c r="H18" s="159"/>
      <c r="I18" s="160"/>
      <c r="J18" s="62">
        <v>430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61" t="s">
        <v>244</v>
      </c>
      <c r="D19" s="27"/>
      <c r="E19" s="27"/>
      <c r="F19" s="27"/>
      <c r="G19" s="27"/>
      <c r="H19" s="27"/>
      <c r="I19" s="30"/>
      <c r="J19" s="29">
        <v>260</v>
      </c>
      <c r="K19" s="7"/>
      <c r="L19" s="7"/>
      <c r="M19" s="9"/>
      <c r="N19" s="8" t="s">
        <v>8</v>
      </c>
      <c r="O19" s="162" t="s">
        <v>245</v>
      </c>
      <c r="P19" s="162"/>
      <c r="Q19" s="162"/>
      <c r="R19" s="8" t="s">
        <v>10</v>
      </c>
      <c r="S19" s="163">
        <f>J18</f>
        <v>430</v>
      </c>
      <c r="T19" s="143" t="s">
        <v>41</v>
      </c>
      <c r="U19" s="21" t="s">
        <v>246</v>
      </c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2" t="s">
        <v>247</v>
      </c>
      <c r="D21" s="23"/>
      <c r="E21" s="23"/>
      <c r="F21" s="23"/>
      <c r="G21" s="23"/>
      <c r="H21" s="23"/>
      <c r="I21" s="58"/>
      <c r="J21" s="62">
        <v>200</v>
      </c>
      <c r="K21" s="7"/>
      <c r="L21" s="7"/>
      <c r="M21" s="9"/>
      <c r="N21" s="8" t="s">
        <v>8</v>
      </c>
      <c r="O21" s="164" t="s">
        <v>248</v>
      </c>
      <c r="P21" s="164"/>
      <c r="Q21" s="164"/>
      <c r="R21" s="8" t="s">
        <v>10</v>
      </c>
      <c r="S21" s="165">
        <f>J19</f>
        <v>260</v>
      </c>
      <c r="T21" s="143" t="s">
        <v>41</v>
      </c>
      <c r="U21" s="21" t="s">
        <v>246</v>
      </c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249</v>
      </c>
      <c r="D22" s="25"/>
      <c r="E22" s="25"/>
      <c r="F22" s="25"/>
      <c r="G22" s="25"/>
      <c r="H22" s="25"/>
      <c r="I22" s="55"/>
      <c r="J22" s="28">
        <v>82</v>
      </c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250</v>
      </c>
      <c r="D23" s="27"/>
      <c r="E23" s="27"/>
      <c r="F23" s="27"/>
      <c r="G23" s="27"/>
      <c r="H23" s="27"/>
      <c r="I23" s="30"/>
      <c r="J23" s="29">
        <v>12.299999999999999</v>
      </c>
      <c r="K23" s="7"/>
      <c r="L23" s="7"/>
      <c r="M23" s="9"/>
      <c r="N23" s="8" t="s">
        <v>8</v>
      </c>
      <c r="O23" s="164" t="s">
        <v>251</v>
      </c>
      <c r="P23" s="164"/>
      <c r="Q23" s="164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 t="s">
        <v>252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10</v>
      </c>
      <c r="Q25" s="34">
        <v>1.25</v>
      </c>
      <c r="R25" s="8" t="s">
        <v>146</v>
      </c>
      <c r="S25" s="7" t="s">
        <v>253</v>
      </c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10</v>
      </c>
      <c r="Q26" s="34">
        <v>1.25</v>
      </c>
      <c r="R26" s="8" t="s">
        <v>146</v>
      </c>
      <c r="S26" s="8">
        <f>J21-J22-J23</f>
        <v>105.7</v>
      </c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8" t="s">
        <v>10</v>
      </c>
      <c r="Q27" s="165">
        <f>Q26*S26</f>
        <v>132.125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19" t="s">
        <v>254</v>
      </c>
      <c r="P30" s="20"/>
      <c r="Q30" s="20"/>
      <c r="R30" s="20"/>
      <c r="S30" s="20"/>
      <c r="T30" s="20"/>
      <c r="U30" s="20"/>
      <c r="V30" s="20"/>
      <c r="W30" s="20"/>
      <c r="X30" s="51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 t="s">
        <v>226</v>
      </c>
      <c r="P32" s="7"/>
      <c r="Q32" s="7"/>
      <c r="R32" s="166">
        <f>Q8</f>
        <v>93.132000000000005</v>
      </c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 t="s">
        <v>236</v>
      </c>
      <c r="P33" s="7"/>
      <c r="Q33" s="7"/>
      <c r="R33" s="166">
        <f>Q16</f>
        <v>72.600000000000009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 t="s">
        <v>245</v>
      </c>
      <c r="P34" s="7"/>
      <c r="Q34" s="7"/>
      <c r="R34" s="166">
        <f>S19</f>
        <v>430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 t="s">
        <v>248</v>
      </c>
      <c r="P35" s="7"/>
      <c r="Q35" s="7"/>
      <c r="R35" s="166">
        <f>S21</f>
        <v>260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 t="s">
        <v>251</v>
      </c>
      <c r="P36" s="7"/>
      <c r="Q36" s="7"/>
      <c r="R36" s="166">
        <f>Q27</f>
        <v>132.125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167">
        <f>SUM(R32:R36)</f>
        <v>987.85699999999997</v>
      </c>
      <c r="S37" s="143" t="s">
        <v>41</v>
      </c>
      <c r="T37" s="21" t="s">
        <v>255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346</v>
      </c>
      <c r="N3" s="18" t="s">
        <v>8</v>
      </c>
      <c r="O3" s="41" t="s">
        <v>27</v>
      </c>
      <c r="P3" s="6" t="s">
        <v>347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82" t="s">
        <v>348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349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P6" s="5" t="s">
        <v>350</v>
      </c>
      <c r="AB6" s="8" t="s">
        <v>8</v>
      </c>
      <c r="AC6" s="9"/>
    </row>
    <row r="7" spans="1:29" ht="15" customHeight="1" x14ac:dyDescent="0.25">
      <c r="A7" s="5" t="s">
        <v>6</v>
      </c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AB7" s="8" t="s">
        <v>8</v>
      </c>
      <c r="AC7" s="9"/>
    </row>
    <row r="8" spans="1:29" ht="15" customHeight="1" x14ac:dyDescent="0.25">
      <c r="A8" s="9"/>
      <c r="B8" s="9"/>
      <c r="C8" s="202" t="s">
        <v>351</v>
      </c>
      <c r="D8" s="203"/>
      <c r="E8" s="204">
        <v>2024</v>
      </c>
      <c r="F8" s="7"/>
      <c r="G8" s="7"/>
      <c r="H8" s="7"/>
      <c r="I8" s="7"/>
      <c r="J8" s="7"/>
      <c r="K8" s="7"/>
      <c r="L8" s="7"/>
      <c r="M8" s="7"/>
      <c r="N8" s="8" t="s">
        <v>8</v>
      </c>
      <c r="P8" s="18" t="s">
        <v>352</v>
      </c>
      <c r="Q8" s="18" t="s">
        <v>10</v>
      </c>
      <c r="R8" s="6" t="s">
        <v>353</v>
      </c>
      <c r="AB8" s="8" t="s">
        <v>8</v>
      </c>
      <c r="AC8" s="9"/>
    </row>
    <row r="9" spans="1:29" ht="15" customHeight="1" x14ac:dyDescent="0.25">
      <c r="A9" s="9"/>
      <c r="B9" s="9"/>
      <c r="C9" s="190" t="s">
        <v>354</v>
      </c>
      <c r="D9" s="205"/>
      <c r="E9" s="206" t="s">
        <v>355</v>
      </c>
      <c r="F9" s="7"/>
      <c r="G9" s="7"/>
      <c r="H9" s="7"/>
      <c r="I9" s="7"/>
      <c r="J9" s="7"/>
      <c r="K9" s="7"/>
      <c r="L9" s="7"/>
      <c r="M9" s="7"/>
      <c r="N9" s="8" t="s">
        <v>8</v>
      </c>
      <c r="Q9" s="18" t="s">
        <v>10</v>
      </c>
      <c r="R9" s="6" t="s">
        <v>356</v>
      </c>
      <c r="U9" s="18" t="s">
        <v>18</v>
      </c>
      <c r="V9" s="6" t="s">
        <v>357</v>
      </c>
      <c r="Y9" s="207" t="s">
        <v>358</v>
      </c>
      <c r="Z9" s="18"/>
      <c r="AA9" s="18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 t="s">
        <v>8</v>
      </c>
      <c r="Q10" s="18" t="s">
        <v>10</v>
      </c>
      <c r="R10" s="6" t="s">
        <v>35</v>
      </c>
      <c r="S10" s="7">
        <f>F11</f>
        <v>40000</v>
      </c>
      <c r="T10" s="6" t="s">
        <v>359</v>
      </c>
      <c r="U10" s="18" t="s">
        <v>18</v>
      </c>
      <c r="V10" s="7">
        <f>F12</f>
        <v>120000</v>
      </c>
      <c r="W10" s="6" t="s">
        <v>359</v>
      </c>
      <c r="Y10" s="207" t="s">
        <v>358</v>
      </c>
      <c r="AB10" s="8" t="s">
        <v>8</v>
      </c>
      <c r="AC10" s="9"/>
    </row>
    <row r="11" spans="1:29" ht="15" customHeight="1" x14ac:dyDescent="0.25">
      <c r="A11" s="16"/>
      <c r="B11" s="9"/>
      <c r="C11" s="22" t="s">
        <v>360</v>
      </c>
      <c r="D11" s="23"/>
      <c r="E11" s="58"/>
      <c r="F11" s="62">
        <v>40000</v>
      </c>
      <c r="G11" s="7"/>
      <c r="H11" s="7"/>
      <c r="I11" s="7"/>
      <c r="J11" s="7"/>
      <c r="K11" s="7"/>
      <c r="L11" s="7"/>
      <c r="M11" s="7"/>
      <c r="N11" s="8" t="s">
        <v>8</v>
      </c>
      <c r="Q11" s="18" t="s">
        <v>10</v>
      </c>
      <c r="R11" s="86">
        <f>(S10^1.5 + V10^1.5 ) ^ (1 / 1.5)</f>
        <v>134940.2114783705</v>
      </c>
      <c r="AB11" s="8" t="s">
        <v>8</v>
      </c>
      <c r="AC11" s="9"/>
    </row>
    <row r="12" spans="1:29" ht="15" customHeight="1" x14ac:dyDescent="0.25">
      <c r="A12" s="9"/>
      <c r="B12" s="9"/>
      <c r="C12" s="26" t="s">
        <v>361</v>
      </c>
      <c r="D12" s="27"/>
      <c r="E12" s="30"/>
      <c r="F12" s="29">
        <v>120000</v>
      </c>
      <c r="G12" s="7"/>
      <c r="H12" s="7"/>
      <c r="I12" s="7"/>
      <c r="J12" s="7"/>
      <c r="K12" s="7"/>
      <c r="L12" s="7"/>
      <c r="M12" s="9"/>
      <c r="N12" s="8" t="s">
        <v>8</v>
      </c>
      <c r="AB12" s="8" t="s">
        <v>8</v>
      </c>
      <c r="AC12" s="9"/>
    </row>
    <row r="13" spans="1:29" ht="15" customHeight="1" x14ac:dyDescent="0.25">
      <c r="A13" s="9"/>
      <c r="B13" s="9"/>
      <c r="C13" s="24" t="s">
        <v>362</v>
      </c>
      <c r="D13" s="25"/>
      <c r="E13" s="55"/>
      <c r="F13" s="28">
        <v>49200</v>
      </c>
      <c r="G13" s="7"/>
      <c r="H13" s="7"/>
      <c r="I13" s="7"/>
      <c r="J13" s="7"/>
      <c r="K13" s="7"/>
      <c r="L13" s="7"/>
      <c r="M13" s="9"/>
      <c r="N13" s="8" t="s">
        <v>8</v>
      </c>
      <c r="P13" s="5" t="s">
        <v>363</v>
      </c>
      <c r="AB13" s="8" t="s">
        <v>8</v>
      </c>
      <c r="AC13" s="9"/>
    </row>
    <row r="14" spans="1:29" ht="15" customHeight="1" x14ac:dyDescent="0.25">
      <c r="A14" s="9"/>
      <c r="B14" s="9"/>
      <c r="C14" s="26" t="s">
        <v>364</v>
      </c>
      <c r="D14" s="27"/>
      <c r="E14" s="30"/>
      <c r="F14" s="29">
        <v>133200</v>
      </c>
      <c r="G14" s="7"/>
      <c r="H14" s="7"/>
      <c r="I14" s="7"/>
      <c r="J14" s="7"/>
      <c r="K14" s="7"/>
      <c r="L14" s="7"/>
      <c r="M14" s="9"/>
      <c r="N14" s="8" t="s">
        <v>8</v>
      </c>
      <c r="AB14" s="8" t="s">
        <v>8</v>
      </c>
      <c r="AC14" s="9"/>
    </row>
    <row r="15" spans="1:29" ht="15" customHeight="1" x14ac:dyDescent="0.25">
      <c r="C15" s="24" t="s">
        <v>365</v>
      </c>
      <c r="D15" s="25"/>
      <c r="E15" s="55"/>
      <c r="F15" s="28">
        <v>23600</v>
      </c>
      <c r="G15" s="7"/>
      <c r="H15" s="7"/>
      <c r="I15" s="7"/>
      <c r="J15" s="7"/>
      <c r="K15" s="7"/>
      <c r="L15" s="7"/>
      <c r="M15" s="9"/>
      <c r="N15" s="8" t="s">
        <v>8</v>
      </c>
      <c r="P15" s="18" t="s">
        <v>352</v>
      </c>
      <c r="Q15" s="18" t="s">
        <v>10</v>
      </c>
      <c r="R15" s="6" t="s">
        <v>366</v>
      </c>
      <c r="S15" s="6" t="s">
        <v>367</v>
      </c>
      <c r="U15" s="208" t="s">
        <v>11</v>
      </c>
      <c r="V15" s="6" t="s">
        <v>368</v>
      </c>
      <c r="Y15" s="6" t="s">
        <v>338</v>
      </c>
      <c r="AB15" s="8" t="s">
        <v>8</v>
      </c>
      <c r="AC15" s="9"/>
    </row>
    <row r="16" spans="1:29" ht="15" customHeight="1" x14ac:dyDescent="0.25">
      <c r="C16" s="26" t="s">
        <v>369</v>
      </c>
      <c r="D16" s="27"/>
      <c r="E16" s="30"/>
      <c r="F16" s="29">
        <v>60000</v>
      </c>
      <c r="G16" s="7"/>
      <c r="H16" s="7"/>
      <c r="I16" s="7"/>
      <c r="J16" s="7"/>
      <c r="K16" s="7"/>
      <c r="L16" s="7"/>
      <c r="M16" s="9"/>
      <c r="N16" s="8" t="s">
        <v>8</v>
      </c>
      <c r="Q16" s="18"/>
      <c r="S16" s="6" t="s">
        <v>370</v>
      </c>
      <c r="U16" s="208" t="s">
        <v>11</v>
      </c>
      <c r="V16" s="6" t="s">
        <v>368</v>
      </c>
      <c r="Y16" s="6" t="s">
        <v>37</v>
      </c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Q17" s="18"/>
      <c r="U17" s="208"/>
      <c r="AB17" s="8" t="s">
        <v>8</v>
      </c>
      <c r="AC17" s="9"/>
    </row>
    <row r="18" spans="3:29" ht="15" customHeight="1" x14ac:dyDescent="0.25">
      <c r="C18" s="22" t="s">
        <v>371</v>
      </c>
      <c r="D18" s="23"/>
      <c r="E18" s="58"/>
      <c r="F18" s="62">
        <v>25000</v>
      </c>
      <c r="G18" s="7"/>
      <c r="H18" s="7"/>
      <c r="I18" s="7"/>
      <c r="J18" s="7"/>
      <c r="K18" s="7"/>
      <c r="L18" s="7"/>
      <c r="M18" s="9"/>
      <c r="N18" s="8" t="s">
        <v>8</v>
      </c>
      <c r="Q18" s="18" t="s">
        <v>10</v>
      </c>
      <c r="R18" s="6" t="s">
        <v>366</v>
      </c>
      <c r="S18" s="7">
        <f>F13</f>
        <v>49200</v>
      </c>
      <c r="U18" s="208" t="s">
        <v>11</v>
      </c>
      <c r="V18" s="7">
        <f>J21</f>
        <v>25000</v>
      </c>
      <c r="Y18" s="6" t="s">
        <v>338</v>
      </c>
      <c r="AB18" s="8" t="s">
        <v>8</v>
      </c>
      <c r="AC18" s="9"/>
    </row>
    <row r="19" spans="3:29" ht="15" customHeight="1" x14ac:dyDescent="0.25">
      <c r="C19" s="26" t="s">
        <v>372</v>
      </c>
      <c r="D19" s="27"/>
      <c r="E19" s="30"/>
      <c r="F19" s="29">
        <v>125000</v>
      </c>
      <c r="G19" s="7"/>
      <c r="H19" s="7"/>
      <c r="I19" s="7"/>
      <c r="J19" s="7"/>
      <c r="K19" s="7"/>
      <c r="L19" s="7"/>
      <c r="M19" s="9"/>
      <c r="N19" s="8" t="s">
        <v>8</v>
      </c>
      <c r="S19" s="7">
        <f>F14</f>
        <v>133200</v>
      </c>
      <c r="U19" s="208" t="s">
        <v>11</v>
      </c>
      <c r="V19" s="7">
        <f>J21</f>
        <v>25000</v>
      </c>
      <c r="Y19" s="6" t="s">
        <v>37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AB20" s="8" t="s">
        <v>8</v>
      </c>
      <c r="AC20" s="9"/>
    </row>
    <row r="21" spans="3:29" ht="15" customHeight="1" x14ac:dyDescent="0.25">
      <c r="C21" s="19" t="s">
        <v>373</v>
      </c>
      <c r="D21" s="20"/>
      <c r="E21" s="20"/>
      <c r="F21" s="20"/>
      <c r="G21" s="20"/>
      <c r="H21" s="20"/>
      <c r="I21" s="51"/>
      <c r="J21" s="52">
        <v>25000</v>
      </c>
      <c r="K21" s="7"/>
      <c r="L21" s="7"/>
      <c r="M21" s="9"/>
      <c r="N21" s="8" t="s">
        <v>8</v>
      </c>
      <c r="Q21" s="18" t="s">
        <v>10</v>
      </c>
      <c r="R21" s="6" t="s">
        <v>366</v>
      </c>
      <c r="S21" s="33">
        <f>S18-V18</f>
        <v>24200</v>
      </c>
      <c r="T21" s="18" t="s">
        <v>338</v>
      </c>
      <c r="U21" s="33">
        <f>S19-V19</f>
        <v>108200</v>
      </c>
      <c r="V21" s="18" t="s">
        <v>37</v>
      </c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16" t="s">
        <v>51</v>
      </c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Q23" s="18" t="s">
        <v>10</v>
      </c>
      <c r="R23" s="202">
        <f>MAX(S21,U21)</f>
        <v>108200</v>
      </c>
      <c r="AB23" s="8" t="s">
        <v>8</v>
      </c>
      <c r="AC23" s="9"/>
    </row>
    <row r="24" spans="3:29" ht="15" customHeight="1" x14ac:dyDescent="0.25">
      <c r="C24" s="202" t="s">
        <v>374</v>
      </c>
      <c r="D24" s="20" t="s">
        <v>375</v>
      </c>
      <c r="E24" s="20"/>
      <c r="F24" s="20"/>
      <c r="G24" s="20"/>
      <c r="H24" s="20"/>
      <c r="I24" s="20"/>
      <c r="J24" s="20"/>
      <c r="K24" s="51"/>
      <c r="L24" s="7"/>
      <c r="M24" s="9"/>
      <c r="N24" s="8" t="s">
        <v>8</v>
      </c>
      <c r="AB24" s="8" t="s">
        <v>8</v>
      </c>
      <c r="AC24" s="9"/>
    </row>
    <row r="25" spans="3:29" ht="15" customHeight="1" x14ac:dyDescent="0.25">
      <c r="C25" s="31" t="s">
        <v>376</v>
      </c>
      <c r="D25" s="25" t="s">
        <v>377</v>
      </c>
      <c r="E25" s="25"/>
      <c r="F25" s="25"/>
      <c r="G25" s="25"/>
      <c r="H25" s="25"/>
      <c r="I25" s="25"/>
      <c r="J25" s="25"/>
      <c r="K25" s="55"/>
      <c r="L25" s="7"/>
      <c r="M25" s="9"/>
      <c r="N25" s="8" t="s">
        <v>8</v>
      </c>
      <c r="O25" s="173" t="s">
        <v>144</v>
      </c>
      <c r="P25" s="6" t="s">
        <v>378</v>
      </c>
      <c r="AB25" s="8" t="s">
        <v>8</v>
      </c>
      <c r="AC25" s="9"/>
    </row>
    <row r="26" spans="3:29" ht="15" customHeight="1" x14ac:dyDescent="0.25">
      <c r="C26" s="31" t="s">
        <v>379</v>
      </c>
      <c r="D26" s="25" t="s">
        <v>380</v>
      </c>
      <c r="E26" s="25"/>
      <c r="F26" s="25"/>
      <c r="G26" s="25"/>
      <c r="H26" s="25"/>
      <c r="I26" s="25"/>
      <c r="J26" s="25"/>
      <c r="K26" s="55"/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190" t="s">
        <v>352</v>
      </c>
      <c r="D27" s="27" t="s">
        <v>381</v>
      </c>
      <c r="E27" s="27"/>
      <c r="F27" s="27"/>
      <c r="G27" s="27"/>
      <c r="H27" s="27"/>
      <c r="I27" s="27"/>
      <c r="J27" s="27"/>
      <c r="K27" s="30"/>
      <c r="L27" s="7"/>
      <c r="M27" s="9"/>
      <c r="N27" s="8" t="s">
        <v>8</v>
      </c>
      <c r="P27" s="18" t="s">
        <v>379</v>
      </c>
      <c r="Q27" s="18" t="s">
        <v>10</v>
      </c>
      <c r="R27" s="18" t="s">
        <v>352</v>
      </c>
      <c r="S27" s="18" t="s">
        <v>11</v>
      </c>
      <c r="T27" s="18" t="s">
        <v>382</v>
      </c>
      <c r="AB27" s="8" t="s">
        <v>8</v>
      </c>
      <c r="AC27" s="7"/>
    </row>
    <row r="28" spans="3:29" ht="15" customHeight="1" x14ac:dyDescent="0.25">
      <c r="C28" s="31" t="s">
        <v>383</v>
      </c>
      <c r="D28" s="25" t="s">
        <v>384</v>
      </c>
      <c r="E28" s="25"/>
      <c r="F28" s="25"/>
      <c r="G28" s="25"/>
      <c r="H28" s="25"/>
      <c r="I28" s="25"/>
      <c r="J28" s="25"/>
      <c r="K28" s="55"/>
      <c r="L28" s="7"/>
      <c r="M28" s="9"/>
      <c r="N28" s="8" t="s">
        <v>8</v>
      </c>
      <c r="Q28" s="18" t="s">
        <v>10</v>
      </c>
      <c r="R28" s="8">
        <f>IF(E9="Model Approach", R11, R23)</f>
        <v>134940.2114783705</v>
      </c>
      <c r="S28" s="18" t="s">
        <v>11</v>
      </c>
      <c r="T28" s="8">
        <f>F16</f>
        <v>60000</v>
      </c>
      <c r="AB28" s="8" t="s">
        <v>8</v>
      </c>
      <c r="AC28" s="7"/>
    </row>
    <row r="29" spans="3:29" ht="15" customHeight="1" x14ac:dyDescent="0.25">
      <c r="C29" s="190" t="s">
        <v>382</v>
      </c>
      <c r="D29" s="27" t="s">
        <v>385</v>
      </c>
      <c r="E29" s="27"/>
      <c r="F29" s="27"/>
      <c r="G29" s="27"/>
      <c r="H29" s="27"/>
      <c r="I29" s="27"/>
      <c r="J29" s="27"/>
      <c r="K29" s="30"/>
      <c r="L29" s="7"/>
      <c r="M29" s="9"/>
      <c r="N29" s="8" t="s">
        <v>8</v>
      </c>
      <c r="Q29" s="18" t="s">
        <v>10</v>
      </c>
      <c r="R29" s="156">
        <f>R28-T28</f>
        <v>74940.211478370504</v>
      </c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209" t="s">
        <v>216</v>
      </c>
      <c r="P31" s="6" t="s">
        <v>386</v>
      </c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P33" s="18" t="s">
        <v>374</v>
      </c>
      <c r="Q33" s="18" t="s">
        <v>10</v>
      </c>
      <c r="R33" s="18">
        <v>1.25</v>
      </c>
      <c r="S33" s="18" t="s">
        <v>146</v>
      </c>
      <c r="T33" s="18" t="s">
        <v>35</v>
      </c>
      <c r="U33" s="18" t="s">
        <v>376</v>
      </c>
      <c r="V33" s="18" t="s">
        <v>18</v>
      </c>
      <c r="W33" s="18" t="s">
        <v>379</v>
      </c>
      <c r="X33" s="18" t="s">
        <v>37</v>
      </c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Q34" s="18" t="s">
        <v>10</v>
      </c>
      <c r="R34" s="18">
        <f>R33</f>
        <v>1.25</v>
      </c>
      <c r="S34" s="18" t="s">
        <v>146</v>
      </c>
      <c r="T34" s="18" t="s">
        <v>35</v>
      </c>
      <c r="U34" s="7">
        <f>F15</f>
        <v>23600</v>
      </c>
      <c r="V34" s="18" t="s">
        <v>18</v>
      </c>
      <c r="W34" s="156">
        <f>R29</f>
        <v>74940.211478370504</v>
      </c>
      <c r="X34" s="18" t="s">
        <v>37</v>
      </c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Q35" s="18" t="s">
        <v>10</v>
      </c>
      <c r="R35" s="68">
        <f>R34 * (U34+W34)</f>
        <v>123175.26434796312</v>
      </c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R36" s="17" t="s">
        <v>43</v>
      </c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  <c r="AC46" s="7"/>
    </row>
    <row r="47" spans="1:29" ht="15" customHeight="1" x14ac:dyDescent="0.25">
      <c r="N47" s="8" t="s">
        <v>8</v>
      </c>
      <c r="AB47" s="8" t="s">
        <v>8</v>
      </c>
      <c r="AC47" s="7"/>
    </row>
    <row r="48" spans="1:29" ht="15" customHeight="1" x14ac:dyDescent="0.25">
      <c r="N48" s="8" t="s">
        <v>8</v>
      </c>
      <c r="AB48" s="8" t="s">
        <v>8</v>
      </c>
      <c r="AC48" s="7"/>
    </row>
    <row r="49" spans="1:50" ht="15" customHeight="1" x14ac:dyDescent="0.25">
      <c r="N49" s="8" t="s">
        <v>8</v>
      </c>
      <c r="AB49" s="8" t="s">
        <v>8</v>
      </c>
      <c r="AC49" s="7"/>
    </row>
    <row r="50" spans="1:50" ht="15" customHeight="1" x14ac:dyDescent="0.25">
      <c r="N50" s="8" t="s">
        <v>8</v>
      </c>
      <c r="AB50" s="8" t="s">
        <v>8</v>
      </c>
      <c r="AC50" s="7"/>
    </row>
    <row r="51" spans="1:50" ht="15" customHeight="1" x14ac:dyDescent="0.25">
      <c r="N51" s="8" t="s">
        <v>8</v>
      </c>
      <c r="AB51" s="8" t="s">
        <v>8</v>
      </c>
    </row>
    <row r="52" spans="1:50" ht="15" customHeight="1" x14ac:dyDescent="0.25">
      <c r="N52" s="8" t="s">
        <v>8</v>
      </c>
      <c r="AB52" s="8" t="s">
        <v>8</v>
      </c>
    </row>
    <row r="53" spans="1:50" ht="15" customHeight="1" x14ac:dyDescent="0.25">
      <c r="N53" s="8" t="s">
        <v>8</v>
      </c>
      <c r="AB53" s="8" t="s">
        <v>8</v>
      </c>
    </row>
    <row r="54" spans="1:50" ht="15" customHeight="1" x14ac:dyDescent="0.25">
      <c r="N54" s="8" t="s">
        <v>8</v>
      </c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22" width="9.140625" style="6"/>
    <col min="23" max="23" width="6.7109375" style="6" customWidth="1"/>
    <col min="24" max="25" width="9.140625" style="6"/>
    <col min="26" max="26" width="10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387</v>
      </c>
      <c r="N3" s="18" t="s">
        <v>8</v>
      </c>
      <c r="O3" s="41" t="s">
        <v>27</v>
      </c>
      <c r="P3" s="6" t="s">
        <v>389</v>
      </c>
      <c r="U3" s="7" t="s">
        <v>390</v>
      </c>
      <c r="V3" s="7"/>
      <c r="W3" s="7"/>
      <c r="X3" s="7"/>
      <c r="Y3" s="7"/>
      <c r="Z3" s="7"/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391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10" t="s">
        <v>392</v>
      </c>
      <c r="Q5" s="211"/>
      <c r="R5" s="211"/>
      <c r="S5" s="212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B7" s="9"/>
      <c r="C7" s="69" t="s">
        <v>393</v>
      </c>
      <c r="D7" s="87"/>
      <c r="E7" s="87"/>
      <c r="F7" s="213"/>
      <c r="G7" s="87"/>
      <c r="H7" s="214" t="s">
        <v>394</v>
      </c>
      <c r="I7" s="215" t="s">
        <v>395</v>
      </c>
      <c r="J7" s="7"/>
      <c r="K7"/>
      <c r="L7" s="7"/>
      <c r="M7" s="9"/>
      <c r="N7" s="8" t="s">
        <v>8</v>
      </c>
      <c r="O7" s="7"/>
      <c r="P7" s="8" t="s">
        <v>74</v>
      </c>
      <c r="Q7" s="8" t="s">
        <v>10</v>
      </c>
      <c r="R7" s="7" t="s">
        <v>258</v>
      </c>
      <c r="S7" s="7"/>
      <c r="T7" s="8" t="s">
        <v>146</v>
      </c>
      <c r="U7" s="8" t="s">
        <v>396</v>
      </c>
      <c r="V7" s="8" t="s">
        <v>146</v>
      </c>
      <c r="W7" s="7" t="s">
        <v>397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4" t="s">
        <v>398</v>
      </c>
      <c r="D8" s="25"/>
      <c r="E8" s="25"/>
      <c r="F8" s="55"/>
      <c r="G8" s="216"/>
      <c r="H8" s="217">
        <v>8</v>
      </c>
      <c r="I8" s="28">
        <v>61800</v>
      </c>
      <c r="J8" s="7"/>
      <c r="K8" s="9"/>
      <c r="L8" s="9"/>
      <c r="M8" s="9"/>
      <c r="N8" s="8" t="s">
        <v>8</v>
      </c>
      <c r="O8" s="7"/>
      <c r="P8" s="8" t="s">
        <v>265</v>
      </c>
      <c r="Q8" s="8" t="s">
        <v>10</v>
      </c>
      <c r="R8" s="7" t="s">
        <v>266</v>
      </c>
      <c r="S8" s="7"/>
      <c r="T8" s="8" t="s">
        <v>146</v>
      </c>
      <c r="U8" s="8" t="s">
        <v>396</v>
      </c>
      <c r="V8" s="8" t="s">
        <v>146</v>
      </c>
      <c r="W8" s="7" t="s">
        <v>399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400</v>
      </c>
      <c r="D9" s="25"/>
      <c r="E9" s="25"/>
      <c r="F9" s="55"/>
      <c r="G9" s="216"/>
      <c r="H9" s="217">
        <v>7.75</v>
      </c>
      <c r="I9" s="28">
        <v>9270</v>
      </c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401</v>
      </c>
      <c r="D10" s="25"/>
      <c r="E10" s="25"/>
      <c r="F10" s="55"/>
      <c r="G10" s="216"/>
      <c r="H10" s="217">
        <v>6</v>
      </c>
      <c r="I10" s="28">
        <v>30900</v>
      </c>
      <c r="J10" s="7"/>
      <c r="K10" s="9"/>
      <c r="L10" s="9"/>
      <c r="M10" s="9"/>
      <c r="N10" s="8" t="s">
        <v>8</v>
      </c>
      <c r="O10" s="7"/>
      <c r="P10" s="218" t="s">
        <v>21</v>
      </c>
      <c r="Q10" s="8" t="s">
        <v>10</v>
      </c>
      <c r="R10" s="218" t="s">
        <v>8</v>
      </c>
      <c r="S10" s="218" t="s">
        <v>74</v>
      </c>
      <c r="T10" s="218" t="s">
        <v>11</v>
      </c>
      <c r="U10" s="218" t="s">
        <v>265</v>
      </c>
      <c r="V10" s="218" t="s">
        <v>8</v>
      </c>
      <c r="W10" s="219" t="s">
        <v>41</v>
      </c>
      <c r="X10" s="220" t="s">
        <v>402</v>
      </c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26" t="s">
        <v>403</v>
      </c>
      <c r="D11" s="27"/>
      <c r="E11" s="27"/>
      <c r="F11" s="30"/>
      <c r="G11" s="221"/>
      <c r="H11" s="222">
        <v>6.75</v>
      </c>
      <c r="I11" s="29">
        <v>9270</v>
      </c>
      <c r="J11" s="7"/>
      <c r="K11" s="9"/>
      <c r="L11" s="9"/>
      <c r="M11" s="9"/>
      <c r="N11" s="8" t="s">
        <v>8</v>
      </c>
      <c r="O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8"/>
      <c r="I12" s="7"/>
      <c r="J12" s="7"/>
      <c r="K12" s="9"/>
      <c r="L12" s="9"/>
      <c r="M12" s="9"/>
      <c r="N12" s="8" t="s">
        <v>8</v>
      </c>
      <c r="O12" s="7"/>
      <c r="P12" s="16" t="s">
        <v>404</v>
      </c>
      <c r="Q12" s="7"/>
      <c r="R12" s="7"/>
      <c r="S12" s="7" t="s">
        <v>405</v>
      </c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23" t="s">
        <v>406</v>
      </c>
      <c r="D13" s="224"/>
      <c r="E13" s="225"/>
      <c r="F13" s="226">
        <v>125</v>
      </c>
      <c r="G13" s="9"/>
      <c r="H13" s="9"/>
      <c r="I13" s="9"/>
      <c r="J13" s="7"/>
      <c r="K13" s="9"/>
      <c r="L13" s="9"/>
      <c r="M13" s="9"/>
      <c r="N13" s="8" t="s">
        <v>8</v>
      </c>
      <c r="O13" s="7"/>
      <c r="U13" s="6">
        <v>8</v>
      </c>
      <c r="V13" s="6">
        <v>61800</v>
      </c>
      <c r="Z13" s="7"/>
      <c r="AA13" s="7"/>
      <c r="AB13" s="8" t="s">
        <v>8</v>
      </c>
      <c r="AC13" s="9"/>
    </row>
    <row r="14" spans="1:29" ht="15" customHeight="1" x14ac:dyDescent="0.25">
      <c r="B14" s="9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  <c r="N14" s="8" t="s">
        <v>8</v>
      </c>
      <c r="O14" s="7"/>
      <c r="P14" s="22"/>
      <c r="Q14" s="58"/>
      <c r="R14" s="227" t="s">
        <v>407</v>
      </c>
      <c r="S14" s="227"/>
      <c r="T14" s="227"/>
      <c r="U14" s="227">
        <v>7.75</v>
      </c>
      <c r="V14" s="227">
        <v>9270</v>
      </c>
      <c r="W14" s="188"/>
      <c r="X14" s="58"/>
      <c r="Y14" s="58"/>
      <c r="Z14" s="7"/>
      <c r="AA14" s="7"/>
      <c r="AB14" s="8" t="s">
        <v>8</v>
      </c>
      <c r="AC14" s="9"/>
    </row>
    <row r="15" spans="1:29" ht="15" customHeight="1" x14ac:dyDescent="0.25">
      <c r="C15" s="69" t="s">
        <v>408</v>
      </c>
      <c r="D15" s="87"/>
      <c r="E15" s="87"/>
      <c r="F15" s="87"/>
      <c r="G15" s="213"/>
      <c r="H15" s="228" t="s">
        <v>409</v>
      </c>
      <c r="I15" s="215" t="s">
        <v>395</v>
      </c>
      <c r="J15" s="7"/>
      <c r="K15" s="7"/>
      <c r="L15" s="7"/>
      <c r="M15" s="9"/>
      <c r="N15" s="8" t="s">
        <v>8</v>
      </c>
      <c r="O15" s="7"/>
      <c r="P15" s="26"/>
      <c r="Q15" s="30"/>
      <c r="R15" s="84" t="s">
        <v>17</v>
      </c>
      <c r="S15" s="84" t="s">
        <v>146</v>
      </c>
      <c r="T15" s="84" t="s">
        <v>396</v>
      </c>
      <c r="U15" s="84">
        <v>6</v>
      </c>
      <c r="V15" s="84">
        <v>30900</v>
      </c>
      <c r="W15" s="190"/>
      <c r="X15" s="229" t="s">
        <v>410</v>
      </c>
      <c r="Y15" s="30"/>
      <c r="Z15" s="7"/>
      <c r="AA15" s="7"/>
      <c r="AB15" s="8" t="s">
        <v>8</v>
      </c>
      <c r="AC15" s="9"/>
    </row>
    <row r="16" spans="1:29" ht="15" customHeight="1" x14ac:dyDescent="0.25">
      <c r="C16" s="24" t="s">
        <v>411</v>
      </c>
      <c r="D16" s="25"/>
      <c r="E16" s="25"/>
      <c r="F16" s="25"/>
      <c r="G16" s="55"/>
      <c r="H16" s="230" t="s">
        <v>412</v>
      </c>
      <c r="I16" s="28">
        <v>1200</v>
      </c>
      <c r="J16" s="7"/>
      <c r="K16" s="7"/>
      <c r="L16" s="7"/>
      <c r="M16" s="9"/>
      <c r="N16" s="8" t="s">
        <v>8</v>
      </c>
      <c r="O16" s="7"/>
      <c r="P16" s="24" t="s">
        <v>398</v>
      </c>
      <c r="Q16" s="55"/>
      <c r="R16" s="231">
        <f>H8</f>
        <v>8</v>
      </c>
      <c r="S16" s="232" t="s">
        <v>146</v>
      </c>
      <c r="T16" s="233">
        <f>F13/10000</f>
        <v>1.2500000000000001E-2</v>
      </c>
      <c r="U16" s="232">
        <v>6.75</v>
      </c>
      <c r="V16" s="25">
        <v>9270</v>
      </c>
      <c r="W16" s="89" t="s">
        <v>10</v>
      </c>
      <c r="X16" s="55">
        <f>R16*T16*V16</f>
        <v>927</v>
      </c>
      <c r="Y16" s="234" t="s">
        <v>413</v>
      </c>
      <c r="Z16" s="7"/>
      <c r="AA16" s="7"/>
      <c r="AB16" s="8" t="s">
        <v>8</v>
      </c>
      <c r="AC16" s="9"/>
    </row>
    <row r="17" spans="3:29" ht="15" customHeight="1" x14ac:dyDescent="0.25">
      <c r="C17" s="24" t="s">
        <v>414</v>
      </c>
      <c r="D17" s="25"/>
      <c r="E17" s="25"/>
      <c r="F17" s="25"/>
      <c r="G17" s="55"/>
      <c r="H17" s="230" t="s">
        <v>412</v>
      </c>
      <c r="I17" s="28">
        <v>2400</v>
      </c>
      <c r="J17" s="7"/>
      <c r="K17" s="7"/>
      <c r="L17" s="7"/>
      <c r="M17" s="9"/>
      <c r="N17" s="8" t="s">
        <v>8</v>
      </c>
      <c r="O17" s="7"/>
      <c r="P17" s="24" t="s">
        <v>400</v>
      </c>
      <c r="Q17" s="55"/>
      <c r="R17" s="231">
        <f>H9</f>
        <v>7.75</v>
      </c>
      <c r="S17" s="232" t="s">
        <v>146</v>
      </c>
      <c r="T17" s="233">
        <f>T16</f>
        <v>1.2500000000000001E-2</v>
      </c>
      <c r="U17" s="232" t="s">
        <v>146</v>
      </c>
      <c r="V17" s="25">
        <f>I9</f>
        <v>9270</v>
      </c>
      <c r="W17" s="89" t="s">
        <v>10</v>
      </c>
      <c r="X17" s="55">
        <f t="shared" ref="X17:X19" si="0">R17*T17*V17</f>
        <v>898.03125</v>
      </c>
      <c r="Y17" s="234" t="s">
        <v>413</v>
      </c>
      <c r="Z17" s="7"/>
      <c r="AA17" s="7"/>
      <c r="AB17" s="8" t="s">
        <v>8</v>
      </c>
      <c r="AC17" s="9"/>
    </row>
    <row r="18" spans="3:29" ht="15" customHeight="1" x14ac:dyDescent="0.25">
      <c r="C18" s="26" t="s">
        <v>415</v>
      </c>
      <c r="D18" s="27"/>
      <c r="E18" s="27"/>
      <c r="F18" s="27"/>
      <c r="G18" s="30"/>
      <c r="H18" s="235" t="s">
        <v>412</v>
      </c>
      <c r="I18" s="29">
        <v>500</v>
      </c>
      <c r="J18" s="7"/>
      <c r="K18" s="7"/>
      <c r="L18" s="7"/>
      <c r="M18" s="9"/>
      <c r="N18" s="8" t="s">
        <v>8</v>
      </c>
      <c r="O18" s="7"/>
      <c r="P18" s="24" t="s">
        <v>226</v>
      </c>
      <c r="Q18" s="55"/>
      <c r="R18" s="231">
        <f>H10</f>
        <v>6</v>
      </c>
      <c r="S18" s="232" t="s">
        <v>146</v>
      </c>
      <c r="T18" s="233">
        <f>T17</f>
        <v>1.2500000000000001E-2</v>
      </c>
      <c r="U18" s="232" t="s">
        <v>146</v>
      </c>
      <c r="V18" s="25">
        <f>I10</f>
        <v>30900</v>
      </c>
      <c r="W18" s="89" t="s">
        <v>10</v>
      </c>
      <c r="X18" s="55">
        <f t="shared" si="0"/>
        <v>2317.5000000000005</v>
      </c>
      <c r="Y18" s="236" t="s">
        <v>416</v>
      </c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8"/>
      <c r="I19" s="7"/>
      <c r="J19" s="7"/>
      <c r="K19" s="7"/>
      <c r="L19" s="7"/>
      <c r="M19" s="9"/>
      <c r="N19" s="8" t="s">
        <v>8</v>
      </c>
      <c r="O19" s="7"/>
      <c r="P19" s="26" t="s">
        <v>417</v>
      </c>
      <c r="Q19" s="30"/>
      <c r="R19" s="237">
        <f>H11</f>
        <v>6.75</v>
      </c>
      <c r="S19" s="84" t="s">
        <v>146</v>
      </c>
      <c r="T19" s="238">
        <f>T18</f>
        <v>1.2500000000000001E-2</v>
      </c>
      <c r="U19" s="84" t="s">
        <v>146</v>
      </c>
      <c r="V19" s="27">
        <f>I11</f>
        <v>9270</v>
      </c>
      <c r="W19" s="91" t="s">
        <v>10</v>
      </c>
      <c r="X19" s="30">
        <f t="shared" si="0"/>
        <v>782.15625</v>
      </c>
      <c r="Y19" s="239" t="s">
        <v>416</v>
      </c>
      <c r="Z19" s="7"/>
      <c r="AA19" s="7"/>
      <c r="AB19" s="8" t="s">
        <v>8</v>
      </c>
      <c r="AC19" s="9"/>
    </row>
    <row r="20" spans="3:29" ht="15" customHeight="1" x14ac:dyDescent="0.25">
      <c r="C20" s="69" t="s">
        <v>418</v>
      </c>
      <c r="D20" s="87"/>
      <c r="E20" s="213"/>
      <c r="F20" s="215" t="s">
        <v>395</v>
      </c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419</v>
      </c>
      <c r="D21" s="25"/>
      <c r="E21" s="55"/>
      <c r="F21" s="28">
        <v>1000</v>
      </c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420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421</v>
      </c>
      <c r="D22" s="25"/>
      <c r="E22" s="55"/>
      <c r="F22" s="28">
        <v>50</v>
      </c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4" t="s">
        <v>422</v>
      </c>
      <c r="D23" s="25"/>
      <c r="E23" s="55"/>
      <c r="F23" s="28">
        <v>2900</v>
      </c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8" t="s">
        <v>74</v>
      </c>
      <c r="Q23" s="8" t="s">
        <v>10</v>
      </c>
      <c r="R23" s="7" t="s">
        <v>423</v>
      </c>
      <c r="S23" s="7"/>
      <c r="T23" s="7"/>
      <c r="U23" s="7"/>
      <c r="V23" s="7"/>
      <c r="W23" s="49" t="s">
        <v>10</v>
      </c>
      <c r="X23" s="7">
        <f>SUM(X16:X17)</f>
        <v>1825.03125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26" t="s">
        <v>424</v>
      </c>
      <c r="D24" s="27"/>
      <c r="E24" s="30"/>
      <c r="F24" s="29">
        <v>2200</v>
      </c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8" t="s">
        <v>265</v>
      </c>
      <c r="Q24" s="8" t="s">
        <v>10</v>
      </c>
      <c r="R24" s="7" t="s">
        <v>425</v>
      </c>
      <c r="S24" s="7"/>
      <c r="T24" s="7"/>
      <c r="U24" s="7"/>
      <c r="V24" s="7"/>
      <c r="W24" s="49" t="s">
        <v>10</v>
      </c>
      <c r="X24" s="7">
        <f>SUM(X18:X19)</f>
        <v>3099.6562500000005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19" t="s">
        <v>426</v>
      </c>
      <c r="Q26" s="20"/>
      <c r="R26" s="20"/>
      <c r="S26" s="20"/>
      <c r="T26" s="20"/>
      <c r="U26" s="20"/>
      <c r="V26" s="20"/>
      <c r="W26" s="240" t="s">
        <v>10</v>
      </c>
      <c r="X26" s="241">
        <f>ABS(X23-X24)</f>
        <v>1274.6250000000005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242" t="s">
        <v>427</v>
      </c>
      <c r="Q29" s="211"/>
      <c r="R29" s="211"/>
      <c r="S29" s="212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8" t="s">
        <v>21</v>
      </c>
      <c r="Q31" s="8" t="s">
        <v>10</v>
      </c>
      <c r="R31" s="104">
        <v>0.1</v>
      </c>
      <c r="S31" s="8" t="s">
        <v>146</v>
      </c>
      <c r="T31" s="8" t="s">
        <v>366</v>
      </c>
      <c r="U31" s="8" t="s">
        <v>428</v>
      </c>
      <c r="V31" s="8"/>
      <c r="W31" s="8" t="s">
        <v>338</v>
      </c>
      <c r="X31" s="8" t="s">
        <v>429</v>
      </c>
      <c r="Y31" s="8"/>
      <c r="Z31" s="8" t="s">
        <v>37</v>
      </c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10</v>
      </c>
      <c r="R32" s="104">
        <v>0.1</v>
      </c>
      <c r="S32" s="8" t="s">
        <v>146</v>
      </c>
      <c r="T32" s="8" t="s">
        <v>366</v>
      </c>
      <c r="U32" s="7">
        <f>I16+I17-I18</f>
        <v>3100</v>
      </c>
      <c r="V32" s="7"/>
      <c r="W32" s="8" t="s">
        <v>338</v>
      </c>
      <c r="X32" s="7">
        <v>0</v>
      </c>
      <c r="Y32" s="7"/>
      <c r="Z32" s="8" t="s">
        <v>37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8" t="s">
        <v>10</v>
      </c>
      <c r="R33" s="243">
        <f>R32*MAX(U32,X32)</f>
        <v>310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242" t="s">
        <v>430</v>
      </c>
      <c r="Q36" s="211"/>
      <c r="R36" s="211"/>
      <c r="S36" s="212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8" t="s">
        <v>21</v>
      </c>
      <c r="Q38" s="8" t="s">
        <v>10</v>
      </c>
      <c r="R38" s="104">
        <v>0.3</v>
      </c>
      <c r="S38" s="8" t="s">
        <v>146</v>
      </c>
      <c r="T38" s="8" t="s">
        <v>35</v>
      </c>
      <c r="U38" s="7" t="s">
        <v>419</v>
      </c>
      <c r="V38" s="7"/>
      <c r="W38" s="8" t="s">
        <v>18</v>
      </c>
      <c r="X38" s="7" t="s">
        <v>431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104">
        <v>0.3</v>
      </c>
      <c r="S39" s="8" t="s">
        <v>146</v>
      </c>
      <c r="T39" s="8" t="s">
        <v>35</v>
      </c>
      <c r="U39" s="7">
        <f>F21</f>
        <v>1000</v>
      </c>
      <c r="V39" s="7"/>
      <c r="W39" s="8" t="s">
        <v>18</v>
      </c>
      <c r="X39" s="8">
        <f>F22</f>
        <v>50</v>
      </c>
      <c r="Y39" s="7" t="s">
        <v>37</v>
      </c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8" t="s">
        <v>10</v>
      </c>
      <c r="R40" s="243">
        <f>R39*(U39+X39)</f>
        <v>315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242" t="s">
        <v>432</v>
      </c>
      <c r="Q43" s="211"/>
      <c r="R43" s="211"/>
      <c r="S43" s="212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8" t="s">
        <v>21</v>
      </c>
      <c r="Q45" s="8" t="s">
        <v>10</v>
      </c>
      <c r="R45" s="104">
        <v>0.1</v>
      </c>
      <c r="S45" s="8" t="s">
        <v>146</v>
      </c>
      <c r="T45" s="66" t="s">
        <v>433</v>
      </c>
      <c r="U45" s="7"/>
      <c r="V45" s="7"/>
      <c r="W45" s="8" t="s">
        <v>18</v>
      </c>
      <c r="X45" s="104">
        <v>0.2</v>
      </c>
      <c r="Y45" s="8" t="s">
        <v>146</v>
      </c>
      <c r="Z45" s="7" t="s">
        <v>434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8" t="s">
        <v>10</v>
      </c>
      <c r="R46" s="104">
        <v>0.1</v>
      </c>
      <c r="S46" s="8" t="s">
        <v>146</v>
      </c>
      <c r="T46" s="7">
        <f>F23</f>
        <v>2900</v>
      </c>
      <c r="U46" s="7"/>
      <c r="V46" s="7"/>
      <c r="W46" s="8" t="s">
        <v>18</v>
      </c>
      <c r="X46" s="104">
        <v>0.2</v>
      </c>
      <c r="Y46" s="8" t="s">
        <v>146</v>
      </c>
      <c r="Z46" s="7">
        <f>F24</f>
        <v>2200</v>
      </c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8" t="s">
        <v>10</v>
      </c>
      <c r="R47" s="243">
        <f>R46*T46 + X46*Z46</f>
        <v>730</v>
      </c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209" t="s">
        <v>144</v>
      </c>
      <c r="P50" s="7" t="s">
        <v>435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84" t="s">
        <v>21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 t="s">
        <v>436</v>
      </c>
      <c r="Q53" s="7"/>
      <c r="R53" s="7"/>
      <c r="S53" s="7">
        <f>X26</f>
        <v>1274.6250000000005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 t="s">
        <v>437</v>
      </c>
      <c r="Q54" s="7"/>
      <c r="R54" s="7"/>
      <c r="S54" s="7">
        <f>R33</f>
        <v>310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 t="s">
        <v>438</v>
      </c>
      <c r="Q55" s="7"/>
      <c r="R55" s="7"/>
      <c r="S55" s="7">
        <f>R40</f>
        <v>315</v>
      </c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 t="s">
        <v>439</v>
      </c>
      <c r="Q56" s="7"/>
      <c r="R56" s="7"/>
      <c r="S56" s="7">
        <f>R47</f>
        <v>730</v>
      </c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244">
        <f>SUM(S53:S56)</f>
        <v>2629.6250000000005</v>
      </c>
      <c r="T57" s="245" t="s">
        <v>440</v>
      </c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342</v>
      </c>
      <c r="N3" s="18" t="s">
        <v>8</v>
      </c>
      <c r="O3" s="41" t="s">
        <v>27</v>
      </c>
      <c r="P3" s="6" t="s">
        <v>256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74</v>
      </c>
      <c r="Q5" s="8" t="s">
        <v>10</v>
      </c>
      <c r="R5" s="7" t="s">
        <v>258</v>
      </c>
      <c r="S5" s="7"/>
      <c r="T5" s="8" t="s">
        <v>146</v>
      </c>
      <c r="U5" s="8" t="s">
        <v>259</v>
      </c>
      <c r="V5" s="8" t="s">
        <v>146</v>
      </c>
      <c r="W5" s="7" t="s">
        <v>260</v>
      </c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8" t="s">
        <v>10</v>
      </c>
      <c r="R6" s="50">
        <f>H8</f>
        <v>4.5</v>
      </c>
      <c r="S6" s="7"/>
      <c r="T6" s="8" t="s">
        <v>146</v>
      </c>
      <c r="U6" s="168">
        <v>1.2500000000000001E-2</v>
      </c>
      <c r="V6" s="8" t="s">
        <v>146</v>
      </c>
      <c r="W6" s="8">
        <f>G8</f>
        <v>950</v>
      </c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/>
      <c r="D7" s="20"/>
      <c r="E7" s="20"/>
      <c r="F7" s="51"/>
      <c r="G7" s="169" t="s">
        <v>261</v>
      </c>
      <c r="H7" s="169" t="s">
        <v>17</v>
      </c>
      <c r="I7" s="7"/>
      <c r="J7" s="7"/>
      <c r="K7" s="7"/>
      <c r="L7" s="7"/>
      <c r="M7" s="9"/>
      <c r="N7" s="8" t="s">
        <v>8</v>
      </c>
      <c r="O7" s="7"/>
      <c r="P7" s="7"/>
      <c r="Q7" s="8" t="s">
        <v>10</v>
      </c>
      <c r="R7" s="170">
        <f>R6*U6*W6</f>
        <v>53.4375</v>
      </c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262</v>
      </c>
      <c r="D8" s="25"/>
      <c r="E8" s="25"/>
      <c r="F8" s="55"/>
      <c r="G8" s="28">
        <v>950</v>
      </c>
      <c r="H8" s="171">
        <v>4.5</v>
      </c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" t="s">
        <v>263</v>
      </c>
      <c r="D9" s="27"/>
      <c r="E9" s="27"/>
      <c r="F9" s="30"/>
      <c r="G9" s="29">
        <v>779</v>
      </c>
      <c r="H9" s="172">
        <v>4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8" t="s">
        <v>8</v>
      </c>
      <c r="O10" s="173" t="s">
        <v>144</v>
      </c>
      <c r="P10" s="6" t="s">
        <v>264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8" t="s">
        <v>265</v>
      </c>
      <c r="Q12" s="8" t="s">
        <v>10</v>
      </c>
      <c r="R12" s="7" t="s">
        <v>266</v>
      </c>
      <c r="S12" s="7"/>
      <c r="T12" s="8" t="s">
        <v>146</v>
      </c>
      <c r="U12" s="8" t="s">
        <v>259</v>
      </c>
      <c r="V12" s="8" t="s">
        <v>146</v>
      </c>
      <c r="W12" s="7" t="s">
        <v>267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8" t="s">
        <v>10</v>
      </c>
      <c r="R13" s="50">
        <f>H9</f>
        <v>4</v>
      </c>
      <c r="S13" s="7"/>
      <c r="T13" s="8" t="s">
        <v>146</v>
      </c>
      <c r="U13" s="168">
        <v>1.2500000000000001E-2</v>
      </c>
      <c r="V13" s="8" t="s">
        <v>146</v>
      </c>
      <c r="W13" s="8">
        <f>G9</f>
        <v>779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7"/>
      <c r="P14" s="7"/>
      <c r="Q14" s="8" t="s">
        <v>10</v>
      </c>
      <c r="R14" s="174">
        <f>R13*U13*W13</f>
        <v>38.950000000000003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8" t="s">
        <v>216</v>
      </c>
      <c r="P17" s="7" t="s">
        <v>268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8" t="s">
        <v>188</v>
      </c>
      <c r="Q19" s="8" t="s">
        <v>10</v>
      </c>
      <c r="R19" s="8" t="s">
        <v>8</v>
      </c>
      <c r="S19" s="8" t="s">
        <v>74</v>
      </c>
      <c r="T19" s="8" t="s">
        <v>11</v>
      </c>
      <c r="U19" s="8" t="s">
        <v>265</v>
      </c>
      <c r="V19" s="8" t="s">
        <v>8</v>
      </c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10</v>
      </c>
      <c r="R20" s="8" t="s">
        <v>8</v>
      </c>
      <c r="S20" s="175">
        <f>R7</f>
        <v>53.4375</v>
      </c>
      <c r="T20" s="8" t="s">
        <v>11</v>
      </c>
      <c r="U20" s="175">
        <f>R14</f>
        <v>38.950000000000003</v>
      </c>
      <c r="V20" s="8" t="s">
        <v>8</v>
      </c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10</v>
      </c>
      <c r="R21" s="176">
        <f>ABS(S20-U20)</f>
        <v>14.487499999999997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21" t="s">
        <v>43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341</v>
      </c>
      <c r="N3" s="18" t="s">
        <v>8</v>
      </c>
      <c r="O3" s="41" t="s">
        <v>271</v>
      </c>
      <c r="P3" s="6" t="s">
        <v>272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273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7" t="s">
        <v>274</v>
      </c>
      <c r="R6" s="7"/>
      <c r="S6" s="7"/>
      <c r="T6" s="7"/>
      <c r="U6" s="177" t="s">
        <v>33</v>
      </c>
      <c r="V6" s="7" t="s">
        <v>275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 t="s">
        <v>276</v>
      </c>
      <c r="D7" s="20"/>
      <c r="E7" s="20"/>
      <c r="F7" s="51"/>
      <c r="G7" s="169" t="s">
        <v>277</v>
      </c>
      <c r="H7" s="169" t="s">
        <v>278</v>
      </c>
      <c r="I7" s="7"/>
      <c r="J7" s="7"/>
      <c r="K7" s="7"/>
      <c r="L7" s="7"/>
      <c r="M7" s="9"/>
      <c r="N7" s="8" t="s">
        <v>8</v>
      </c>
      <c r="O7" s="7"/>
      <c r="P7" s="8" t="s">
        <v>10</v>
      </c>
      <c r="Q7" s="7">
        <f>SUMPRODUCT(G8:G13,H8:H13)</f>
        <v>49095</v>
      </c>
      <c r="R7" s="7"/>
      <c r="S7" s="7"/>
      <c r="T7" s="7"/>
      <c r="U7" s="177" t="s">
        <v>33</v>
      </c>
      <c r="V7" s="7">
        <f>G14</f>
        <v>6800</v>
      </c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279</v>
      </c>
      <c r="D8" s="25"/>
      <c r="E8" s="25"/>
      <c r="F8" s="55"/>
      <c r="G8" s="28">
        <v>1360</v>
      </c>
      <c r="H8" s="178">
        <v>3</v>
      </c>
      <c r="I8" s="7"/>
      <c r="J8" s="7"/>
      <c r="K8" s="9"/>
      <c r="L8" s="9"/>
      <c r="M8" s="9"/>
      <c r="N8" s="8" t="s">
        <v>8</v>
      </c>
      <c r="O8" s="7"/>
      <c r="P8" s="8" t="s">
        <v>10</v>
      </c>
      <c r="Q8" s="179">
        <f>Q7/V7</f>
        <v>7.2198529411764705</v>
      </c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280</v>
      </c>
      <c r="D9" s="25"/>
      <c r="E9" s="25"/>
      <c r="F9" s="55"/>
      <c r="G9" s="28">
        <v>1000</v>
      </c>
      <c r="H9" s="178">
        <v>7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281</v>
      </c>
      <c r="D10" s="25"/>
      <c r="E10" s="25"/>
      <c r="F10" s="55"/>
      <c r="G10" s="28">
        <v>950</v>
      </c>
      <c r="H10" s="178">
        <v>2</v>
      </c>
      <c r="I10" s="7"/>
      <c r="J10" s="7"/>
      <c r="K10" s="9"/>
      <c r="L10" s="9"/>
      <c r="M10" s="9"/>
      <c r="N10" s="8" t="s">
        <v>8</v>
      </c>
      <c r="O10" s="41" t="s">
        <v>271</v>
      </c>
      <c r="P10" s="6" t="s">
        <v>282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283</v>
      </c>
      <c r="D11" s="25"/>
      <c r="E11" s="25"/>
      <c r="F11" s="55"/>
      <c r="G11" s="28">
        <v>1220</v>
      </c>
      <c r="H11" s="178">
        <v>4.75</v>
      </c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284</v>
      </c>
      <c r="D12" s="25"/>
      <c r="E12" s="25"/>
      <c r="F12" s="55"/>
      <c r="G12" s="28">
        <v>1180</v>
      </c>
      <c r="H12" s="178">
        <v>22</v>
      </c>
      <c r="I12" s="7"/>
      <c r="J12" s="7"/>
      <c r="K12" s="9"/>
      <c r="L12" s="9"/>
      <c r="M12" s="9"/>
      <c r="N12" s="8" t="s">
        <v>8</v>
      </c>
      <c r="O12" s="7"/>
      <c r="P12" s="7" t="s">
        <v>285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286</v>
      </c>
      <c r="D13" s="27"/>
      <c r="E13" s="27"/>
      <c r="F13" s="30"/>
      <c r="G13" s="29">
        <v>1090</v>
      </c>
      <c r="H13" s="180">
        <v>4</v>
      </c>
      <c r="I13" s="7"/>
      <c r="J13" s="7"/>
      <c r="K13" s="9"/>
      <c r="L13" s="9"/>
      <c r="M13" s="9"/>
      <c r="N13" s="8" t="s">
        <v>8</v>
      </c>
      <c r="O13" s="7"/>
      <c r="P13" s="8" t="s">
        <v>10</v>
      </c>
      <c r="Q13" s="7" t="s">
        <v>274</v>
      </c>
      <c r="R13" s="7"/>
      <c r="S13" s="7"/>
      <c r="T13" s="7"/>
      <c r="U13" s="177" t="s">
        <v>33</v>
      </c>
      <c r="V13" s="7" t="s">
        <v>287</v>
      </c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6" t="s">
        <v>288</v>
      </c>
      <c r="D14" s="27"/>
      <c r="E14" s="27"/>
      <c r="F14" s="30"/>
      <c r="G14" s="30">
        <v>6800</v>
      </c>
      <c r="H14" s="181" t="s">
        <v>16</v>
      </c>
      <c r="I14" s="7"/>
      <c r="J14" s="7"/>
      <c r="K14" s="182"/>
      <c r="L14" s="182"/>
      <c r="M14" s="9"/>
      <c r="N14" s="8" t="s">
        <v>8</v>
      </c>
      <c r="O14" s="7"/>
      <c r="P14" s="8" t="s">
        <v>10</v>
      </c>
      <c r="Q14" s="7">
        <f>SUMPRODUCT(G17:G18,H17:H18)</f>
        <v>17411.5</v>
      </c>
      <c r="R14" s="7"/>
      <c r="S14" s="7"/>
      <c r="T14" s="7"/>
      <c r="U14" s="177" t="s">
        <v>33</v>
      </c>
      <c r="V14" s="7">
        <f>G19</f>
        <v>4462</v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8" t="s">
        <v>10</v>
      </c>
      <c r="Q15" s="179">
        <f>Q14/V14</f>
        <v>3.902173913043478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9" t="s">
        <v>289</v>
      </c>
      <c r="D16" s="20"/>
      <c r="E16" s="20"/>
      <c r="F16" s="51"/>
      <c r="G16" s="169" t="s">
        <v>277</v>
      </c>
      <c r="H16" s="169" t="s">
        <v>278</v>
      </c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290</v>
      </c>
      <c r="D17" s="25"/>
      <c r="E17" s="25"/>
      <c r="F17" s="55"/>
      <c r="G17" s="28">
        <v>3880</v>
      </c>
      <c r="H17" s="178">
        <v>4</v>
      </c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291</v>
      </c>
      <c r="D18" s="27"/>
      <c r="E18" s="27"/>
      <c r="F18" s="30"/>
      <c r="G18" s="29">
        <v>582</v>
      </c>
      <c r="H18" s="180">
        <v>3.25</v>
      </c>
      <c r="I18" s="7"/>
      <c r="J18" s="7"/>
      <c r="K18" s="7"/>
      <c r="L18" s="7"/>
      <c r="M18" s="9"/>
      <c r="N18" s="8" t="s">
        <v>8</v>
      </c>
      <c r="O18" s="183" t="s">
        <v>292</v>
      </c>
      <c r="P18" s="6" t="s">
        <v>293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288</v>
      </c>
      <c r="D19" s="27"/>
      <c r="E19" s="27"/>
      <c r="F19" s="30"/>
      <c r="G19" s="30">
        <v>4462</v>
      </c>
      <c r="H19" s="181" t="s">
        <v>16</v>
      </c>
      <c r="I19" s="7"/>
      <c r="J19" s="7"/>
      <c r="K19" s="184"/>
      <c r="L19" s="182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8" t="s">
        <v>74</v>
      </c>
      <c r="Q20" s="8" t="s">
        <v>10</v>
      </c>
      <c r="R20" s="7" t="s">
        <v>258</v>
      </c>
      <c r="S20" s="7"/>
      <c r="T20" s="8" t="s">
        <v>146</v>
      </c>
      <c r="U20" s="8" t="s">
        <v>259</v>
      </c>
      <c r="V20" s="8" t="s">
        <v>146</v>
      </c>
      <c r="W20" s="7" t="s">
        <v>275</v>
      </c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184"/>
      <c r="M21" s="9"/>
      <c r="N21" s="8" t="s">
        <v>8</v>
      </c>
      <c r="O21" s="7"/>
      <c r="P21" s="7"/>
      <c r="Q21" s="8" t="s">
        <v>10</v>
      </c>
      <c r="R21" s="185">
        <f>Q8</f>
        <v>7.2198529411764705</v>
      </c>
      <c r="S21" s="7"/>
      <c r="T21" s="8" t="s">
        <v>146</v>
      </c>
      <c r="U21" s="168">
        <v>1.2500000000000001E-2</v>
      </c>
      <c r="V21" s="8" t="s">
        <v>146</v>
      </c>
      <c r="W21" s="8">
        <f>G14</f>
        <v>6800</v>
      </c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8" t="s">
        <v>10</v>
      </c>
      <c r="R22" s="174">
        <f>R21*U21*W21</f>
        <v>613.6875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183" t="s">
        <v>294</v>
      </c>
      <c r="P24" s="6" t="s">
        <v>293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265</v>
      </c>
      <c r="Q26" s="8" t="s">
        <v>10</v>
      </c>
      <c r="R26" s="7" t="s">
        <v>266</v>
      </c>
      <c r="S26" s="7"/>
      <c r="T26" s="8" t="s">
        <v>146</v>
      </c>
      <c r="U26" s="8" t="s">
        <v>259</v>
      </c>
      <c r="V26" s="8" t="s">
        <v>146</v>
      </c>
      <c r="W26" s="7" t="s">
        <v>287</v>
      </c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10</v>
      </c>
      <c r="R27" s="185">
        <f>Q15</f>
        <v>3.902173913043478</v>
      </c>
      <c r="S27" s="7"/>
      <c r="T27" s="8" t="s">
        <v>146</v>
      </c>
      <c r="U27" s="168">
        <v>1.2500000000000001E-2</v>
      </c>
      <c r="V27" s="8" t="s">
        <v>146</v>
      </c>
      <c r="W27" s="7">
        <f>G19</f>
        <v>4462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8" t="s">
        <v>10</v>
      </c>
      <c r="R28" s="174">
        <f>R27*U27*W27</f>
        <v>217.64375000000001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48" t="s">
        <v>216</v>
      </c>
      <c r="P31" s="7" t="s">
        <v>268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8" t="s">
        <v>188</v>
      </c>
      <c r="Q33" s="8" t="s">
        <v>10</v>
      </c>
      <c r="R33" s="8" t="s">
        <v>8</v>
      </c>
      <c r="S33" s="8" t="s">
        <v>74</v>
      </c>
      <c r="T33" s="8" t="s">
        <v>11</v>
      </c>
      <c r="U33" s="8" t="s">
        <v>265</v>
      </c>
      <c r="V33" s="8" t="s">
        <v>8</v>
      </c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8" t="s">
        <v>10</v>
      </c>
      <c r="R34" s="8" t="s">
        <v>8</v>
      </c>
      <c r="S34" s="175">
        <f>R22</f>
        <v>613.6875</v>
      </c>
      <c r="T34" s="8" t="s">
        <v>11</v>
      </c>
      <c r="U34" s="175">
        <f>R28</f>
        <v>217.64375000000001</v>
      </c>
      <c r="V34" s="8" t="s">
        <v>8</v>
      </c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8" t="s">
        <v>10</v>
      </c>
      <c r="R35" s="176">
        <f>ABS(S34-U34)</f>
        <v>396.04374999999999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21" t="s">
        <v>43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Problem 1</vt:lpstr>
      <vt:lpstr>Problem 2</vt:lpstr>
      <vt:lpstr>Problem 3</vt:lpstr>
      <vt:lpstr>Problem 4</vt:lpstr>
      <vt:lpstr>Problem 5</vt:lpstr>
      <vt:lpstr>Problem 6</vt:lpstr>
      <vt:lpstr>Problem 7</vt:lpstr>
      <vt:lpstr>Problem 8</vt:lpstr>
      <vt:lpstr>Problem 9</vt:lpstr>
      <vt:lpstr>Problem 10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2023-09-16T18:28:19Z</dcterms:modified>
</cp:coreProperties>
</file>