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 activeTab="3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D19" i="8" l="1"/>
  <c r="S7" i="9" l="1"/>
  <c r="X7" i="9"/>
  <c r="U7" i="9"/>
  <c r="Q8" i="9"/>
  <c r="P12" i="8" l="1"/>
  <c r="Q12" i="8"/>
  <c r="R12" i="8"/>
  <c r="S12" i="8"/>
  <c r="R42" i="8" s="1"/>
  <c r="T12" i="8"/>
  <c r="U12" i="8"/>
  <c r="V12" i="8"/>
  <c r="T19" i="8"/>
  <c r="Q19" i="8"/>
  <c r="R19" i="8"/>
  <c r="S19" i="8"/>
  <c r="T25" i="8" l="1"/>
  <c r="R26" i="8" s="1"/>
  <c r="Q28" i="8" s="1"/>
  <c r="V28" i="8" s="1"/>
  <c r="P19" i="8"/>
  <c r="R34" i="8" s="1"/>
  <c r="T36" i="8" s="1"/>
  <c r="T44" i="8" s="1"/>
  <c r="V16" i="14"/>
  <c r="T28" i="8" l="1"/>
  <c r="U28" i="8"/>
  <c r="C18" i="1"/>
  <c r="C19" i="1"/>
  <c r="S33" i="15"/>
  <c r="W26" i="15"/>
  <c r="V26" i="15"/>
  <c r="U26" i="15"/>
  <c r="T26" i="15"/>
  <c r="X26" i="15" s="1"/>
  <c r="W25" i="15"/>
  <c r="V25" i="15"/>
  <c r="U25" i="15"/>
  <c r="T25" i="15"/>
  <c r="W24" i="15"/>
  <c r="V24" i="15"/>
  <c r="U24" i="15"/>
  <c r="T24" i="15"/>
  <c r="W23" i="15"/>
  <c r="V23" i="15"/>
  <c r="U23" i="15"/>
  <c r="T23" i="15"/>
  <c r="X23" i="15" s="1"/>
  <c r="W14" i="15"/>
  <c r="V14" i="15"/>
  <c r="X14" i="15" s="1"/>
  <c r="P14" i="15"/>
  <c r="W13" i="15"/>
  <c r="V13" i="15"/>
  <c r="X13" i="15" s="1"/>
  <c r="P13" i="15"/>
  <c r="W12" i="15"/>
  <c r="V12" i="15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25" i="15" l="1"/>
  <c r="X12" i="15"/>
  <c r="X24" i="15"/>
  <c r="X27" i="15" s="1"/>
  <c r="S32" i="15" s="1"/>
  <c r="X15" i="15"/>
  <c r="S31" i="15" s="1"/>
  <c r="S34" i="15" l="1"/>
  <c r="Z46" i="14"/>
  <c r="T46" i="14"/>
  <c r="R47" i="14" s="1"/>
  <c r="S56" i="14" s="1"/>
  <c r="X39" i="14"/>
  <c r="U39" i="14"/>
  <c r="U32" i="14"/>
  <c r="R33" i="14" s="1"/>
  <c r="S54" i="14" s="1"/>
  <c r="V19" i="14"/>
  <c r="R19" i="14"/>
  <c r="V18" i="14"/>
  <c r="R18" i="14"/>
  <c r="V17" i="14"/>
  <c r="R17" i="14"/>
  <c r="T16" i="14"/>
  <c r="T17" i="14" s="1"/>
  <c r="T18" i="14" s="1"/>
  <c r="T19" i="14" s="1"/>
  <c r="R16" i="14"/>
  <c r="C15" i="1"/>
  <c r="C16" i="1"/>
  <c r="C17" i="1"/>
  <c r="R40" i="14" l="1"/>
  <c r="S55" i="14" s="1"/>
  <c r="X16" i="14"/>
  <c r="X17" i="14"/>
  <c r="X23" i="14"/>
  <c r="X18" i="14"/>
  <c r="X19" i="14"/>
  <c r="U34" i="12"/>
  <c r="R34" i="12"/>
  <c r="T28" i="12"/>
  <c r="V19" i="12"/>
  <c r="S19" i="12"/>
  <c r="V18" i="12"/>
  <c r="S18" i="12"/>
  <c r="V10" i="12"/>
  <c r="S10" i="12"/>
  <c r="C14" i="1"/>
  <c r="U28" i="13"/>
  <c r="S28" i="13"/>
  <c r="W28" i="13" s="1"/>
  <c r="U27" i="13"/>
  <c r="S27" i="13"/>
  <c r="W27" i="13" s="1"/>
  <c r="Y22" i="13"/>
  <c r="W22" i="13"/>
  <c r="AA22" i="13" s="1"/>
  <c r="Y21" i="13"/>
  <c r="W21" i="13"/>
  <c r="AA21" i="13" s="1"/>
  <c r="Y20" i="13"/>
  <c r="W20" i="13"/>
  <c r="Y19" i="13"/>
  <c r="W19" i="13"/>
  <c r="AA19" i="13" s="1"/>
  <c r="W18" i="13"/>
  <c r="V6" i="13"/>
  <c r="T6" i="13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W13" i="10"/>
  <c r="R13" i="10"/>
  <c r="R14" i="10" s="1"/>
  <c r="U20" i="10" s="1"/>
  <c r="W6" i="10"/>
  <c r="R6" i="10"/>
  <c r="C13" i="1"/>
  <c r="S26" i="9"/>
  <c r="Q27" i="9" s="1"/>
  <c r="R36" i="9" s="1"/>
  <c r="S21" i="9"/>
  <c r="R35" i="9" s="1"/>
  <c r="S19" i="9"/>
  <c r="R34" i="9" s="1"/>
  <c r="Q16" i="9"/>
  <c r="R33" i="9" s="1"/>
  <c r="S15" i="9"/>
  <c r="Q15" i="9"/>
  <c r="S14" i="9"/>
  <c r="Q14" i="9"/>
  <c r="R32" i="9"/>
  <c r="C12" i="1"/>
  <c r="R35" i="11" l="1"/>
  <c r="R11" i="12"/>
  <c r="R28" i="12" s="1"/>
  <c r="R29" i="12" s="1"/>
  <c r="W34" i="12" s="1"/>
  <c r="R35" i="12" s="1"/>
  <c r="S21" i="12"/>
  <c r="R23" i="12"/>
  <c r="U21" i="12"/>
  <c r="R37" i="9"/>
  <c r="R7" i="13"/>
  <c r="W29" i="13"/>
  <c r="R7" i="10"/>
  <c r="S20" i="10" s="1"/>
  <c r="R21" i="10" s="1"/>
  <c r="X24" i="14"/>
  <c r="X26" i="14" s="1"/>
  <c r="S53" i="14" s="1"/>
  <c r="S57" i="14" s="1"/>
  <c r="AA20" i="13"/>
  <c r="T11" i="13"/>
  <c r="R12" i="13" s="1"/>
  <c r="T38" i="13" s="1"/>
  <c r="Y18" i="13"/>
  <c r="AA18" i="13"/>
  <c r="AA23" i="13" s="1"/>
  <c r="V33" i="13" s="1"/>
  <c r="V38" i="13" s="1"/>
  <c r="R39" i="13" l="1"/>
  <c r="C11" i="1" l="1"/>
  <c r="U40" i="5"/>
  <c r="U36" i="5"/>
  <c r="V32" i="5"/>
  <c r="Q47" i="5" s="1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P6" i="5"/>
  <c r="C10" i="1"/>
  <c r="U41" i="7"/>
  <c r="X37" i="7"/>
  <c r="U37" i="7"/>
  <c r="U38" i="7" s="1"/>
  <c r="R24" i="7"/>
  <c r="W18" i="7"/>
  <c r="W17" i="7"/>
  <c r="W16" i="7"/>
  <c r="W15" i="7"/>
  <c r="W14" i="7"/>
  <c r="U17" i="5" l="1"/>
  <c r="V21" i="5" s="1"/>
  <c r="V27" i="5" s="1"/>
  <c r="S40" i="5" s="1"/>
  <c r="R41" i="5" s="1"/>
  <c r="R47" i="5" s="1"/>
  <c r="S47" i="5" s="1"/>
  <c r="Z14" i="7"/>
  <c r="R7" i="7" s="1"/>
  <c r="R8" i="7" s="1"/>
  <c r="S45" i="7"/>
  <c r="T31" i="7" s="1"/>
  <c r="S41" i="7"/>
  <c r="S42" i="7" s="1"/>
  <c r="R31" i="7" s="1"/>
  <c r="Q53" i="5" l="1"/>
  <c r="S36" i="5"/>
  <c r="R37" i="5" s="1"/>
  <c r="R46" i="5" s="1"/>
  <c r="S46" i="5" s="1"/>
  <c r="S48" i="5" s="1"/>
  <c r="S53" i="5" s="1"/>
  <c r="Q54" i="5" s="1"/>
  <c r="R32" i="7"/>
  <c r="U24" i="7" s="1"/>
  <c r="R25" i="7" s="1"/>
  <c r="U8" i="7" s="1"/>
  <c r="R9" i="7" s="1"/>
  <c r="W2" i="7" s="1"/>
  <c r="T2" i="7" l="1"/>
</calcChain>
</file>

<file path=xl/sharedStrings.xml><?xml version="1.0" encoding="utf-8"?>
<sst xmlns="http://schemas.openxmlformats.org/spreadsheetml/2006/main" count="2270" uniqueCount="492">
  <si>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</si>
  <si>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</si>
  <si>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</si>
  <si>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</si>
  <si>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</si>
  <si>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</si>
  <si>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</si>
  <si>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</si>
  <si>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</si>
  <si>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</si>
  <si>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</si>
  <si>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</si>
  <si>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</si>
  <si>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</si>
  <si>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</si>
  <si>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</si>
  <si>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</si>
  <si>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</si>
  <si>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</si>
  <si>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</si>
  <si>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</si>
  <si>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</si>
  <si>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</si>
  <si>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</si>
  <si>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</si>
  <si>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</si>
  <si>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</si>
  <si>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</si>
  <si>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</si>
  <si>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</si>
  <si>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</si>
  <si>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</si>
  <si>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</si>
  <si>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</si>
  <si>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</si>
  <si>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</si>
  <si>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</si>
  <si>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</si>
  <si>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</si>
  <si>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</si>
  <si>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</si>
  <si>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</si>
  <si>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</si>
  <si>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</si>
  <si>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</si>
  <si>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</si>
  <si>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</si>
  <si>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</si>
  <si>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</si>
  <si>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</si>
  <si>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</si>
  <si>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</si>
  <si>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</si>
  <si>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</si>
  <si>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</si>
  <si>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</si>
  <si>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</si>
  <si>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</si>
  <si>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</si>
  <si>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</si>
  <si>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</si>
  <si>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</si>
  <si>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</si>
  <si>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</si>
  <si>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</si>
  <si>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</si>
  <si>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</si>
  <si>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</si>
  <si>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</si>
  <si>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</si>
  <si>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</si>
  <si>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</si>
  <si>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</si>
  <si>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</si>
  <si>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</si>
  <si>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</si>
  <si>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</si>
  <si>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</si>
  <si>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</si>
  <si>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</si>
  <si>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</si>
  <si>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</si>
  <si>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</si>
  <si>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</si>
  <si>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</si>
  <si>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</si>
  <si>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</si>
  <si>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</si>
  <si>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</si>
  <si>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</si>
  <si>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</si>
  <si>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</si>
  <si>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</si>
  <si>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</si>
  <si>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</si>
  <si>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</si>
  <si>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</si>
  <si>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</si>
  <si>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</si>
  <si>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</si>
  <si>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</si>
  <si>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</si>
  <si>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</si>
  <si>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</si>
  <si>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</si>
  <si>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</si>
  <si>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</si>
  <si>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</si>
  <si>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</si>
  <si>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</si>
  <si>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</si>
  <si>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</si>
  <si>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</si>
  <si>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</si>
  <si>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</si>
  <si>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</si>
  <si>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</si>
  <si>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</si>
  <si>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</si>
  <si>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</si>
  <si>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</si>
  <si>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</si>
  <si>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</si>
  <si>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</si>
  <si>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</si>
  <si>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</si>
  <si>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</si>
  <si>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</si>
  <si>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</si>
  <si>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</si>
  <si>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</si>
  <si>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</si>
  <si>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</si>
  <si>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</si>
  <si>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</si>
  <si>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</si>
  <si>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</si>
  <si>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</si>
  <si>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</si>
  <si>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</si>
  <si>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</si>
  <si>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</si>
  <si>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</si>
  <si>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</si>
  <si>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</si>
  <si>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</si>
  <si>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</si>
  <si>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</si>
  <si>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</si>
  <si>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</si>
  <si>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</si>
  <si>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</si>
  <si>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</si>
  <si>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</si>
  <si>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</si>
  <si>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</si>
  <si>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</si>
  <si>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</si>
  <si>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</si>
  <si>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</si>
  <si>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NOTE: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</si>
  <si>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</si>
  <si>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</si>
  <si>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</si>
  <si>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</si>
  <si>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</si>
  <si>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</si>
  <si>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</si>
  <si>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</si>
  <si>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</si>
  <si>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</si>
  <si>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</si>
  <si>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</si>
  <si>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</si>
  <si>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</si>
  <si>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</si>
  <si>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</si>
  <si>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</si>
  <si>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</si>
  <si>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</si>
  <si>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</si>
  <si>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</si>
  <si>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</si>
  <si>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</si>
  <si>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</si>
  <si>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</si>
  <si>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</si>
  <si>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</si>
  <si>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</si>
  <si>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</si>
  <si>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</si>
  <si>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</si>
  <si>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</si>
  <si>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</si>
  <si>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</si>
  <si>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</si>
  <si>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</si>
  <si>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</si>
  <si>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</si>
  <si>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</si>
  <si>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</si>
  <si>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</si>
  <si>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</si>
  <si>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</si>
  <si>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</si>
  <si>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</si>
  <si>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</si>
  <si>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</si>
  <si>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</si>
  <si>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</si>
  <si>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</si>
  <si>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</si>
  <si>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</si>
  <si>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</si>
  <si>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</si>
  <si>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</si>
  <si>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</si>
  <si>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</si>
  <si>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</si>
  <si>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</si>
  <si>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</si>
  <si>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</si>
  <si>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</si>
  <si>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</si>
  <si>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</si>
  <si>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</si>
  <si>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</si>
  <si>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</si>
  <si>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</si>
  <si>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</si>
  <si>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</si>
  <si>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</si>
  <si>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</si>
  <si>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</si>
  <si>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</si>
  <si>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</si>
  <si>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</si>
  <si>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</si>
  <si>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</si>
  <si>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</si>
  <si>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</si>
  <si>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</si>
  <si>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</si>
  <si>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</si>
  <si>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</si>
  <si>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</si>
  <si>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</si>
  <si>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</si>
  <si>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</si>
  <si>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</si>
  <si>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</si>
  <si>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</si>
  <si>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</si>
  <si>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</si>
  <si>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</si>
  <si>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</si>
  <si>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</si>
  <si>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</si>
  <si>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</si>
  <si>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</si>
  <si>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</si>
  <si>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</si>
  <si>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</si>
  <si>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</si>
  <si>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</si>
  <si>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</si>
  <si>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</si>
  <si>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</si>
  <si>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</si>
  <si>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</si>
  <si>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</si>
  <si>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</si>
  <si>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</si>
  <si>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</si>
  <si>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</si>
  <si>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</si>
  <si>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</si>
  <si>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</si>
  <si>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</si>
  <si>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</si>
  <si>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</si>
  <si>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</si>
  <si>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</si>
  <si>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</si>
  <si>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</si>
  <si>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</si>
  <si>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</si>
  <si>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</si>
  <si>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</si>
  <si>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</si>
  <si>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</si>
  <si>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</si>
  <si>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</si>
  <si>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</si>
  <si>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</si>
  <si>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</si>
  <si>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</si>
  <si>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</si>
  <si>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</si>
  <si>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</si>
  <si>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</si>
  <si>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</si>
  <si>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</si>
  <si>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</si>
  <si>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</si>
  <si>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</si>
  <si>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</si>
  <si>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</si>
  <si>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</si>
  <si>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</si>
  <si>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</si>
  <si>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</si>
  <si>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</si>
  <si>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</si>
  <si>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</si>
  <si>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</si>
  <si>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</si>
  <si>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</si>
  <si>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</si>
  <si>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</si>
  <si>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</si>
  <si>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</si>
  <si>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</si>
  <si>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</si>
  <si>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</si>
  <si>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</si>
  <si>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</si>
  <si>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</si>
  <si>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</si>
  <si>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</si>
  <si>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</si>
  <si>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</si>
  <si>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</si>
  <si>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</si>
  <si>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</si>
  <si>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</si>
  <si>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</si>
  <si>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</si>
  <si>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</si>
  <si>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</si>
  <si>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</si>
  <si>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</si>
  <si>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</si>
  <si>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</si>
  <si>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</si>
  <si>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</si>
  <si>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</si>
  <si>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</si>
  <si>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</si>
  <si>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</si>
  <si>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</si>
  <si>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</si>
  <si>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</si>
  <si>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</si>
  <si>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</si>
  <si>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</si>
  <si>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</si>
  <si>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</si>
  <si>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</si>
  <si>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</si>
  <si>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</si>
  <si>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</si>
  <si>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</si>
  <si>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</si>
  <si>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</si>
  <si>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</si>
  <si>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</si>
  <si>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</si>
  <si>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</si>
  <si>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</si>
  <si>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</si>
  <si>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</si>
  <si>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</si>
  <si>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</si>
  <si>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</si>
  <si>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</si>
  <si>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</si>
  <si>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</si>
  <si>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</si>
  <si>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</si>
  <si>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</si>
  <si>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</si>
  <si>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</si>
  <si>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</si>
  <si>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</si>
  <si>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</si>
  <si>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</si>
  <si>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</si>
  <si>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</si>
  <si>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</si>
  <si>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</si>
  <si>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</si>
  <si>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</si>
  <si>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</si>
  <si>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</si>
  <si>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</si>
  <si>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</si>
  <si>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</si>
  <si>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</si>
  <si>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</si>
  <si>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</si>
  <si>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</si>
  <si>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</si>
  <si>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</si>
  <si>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</si>
  <si>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</si>
  <si>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</si>
  <si>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</si>
  <si>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</si>
  <si>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</si>
  <si>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</si>
  <si>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</si>
  <si>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</si>
  <si>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</si>
  <si>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</si>
  <si>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</si>
  <si>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</si>
  <si>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</si>
  <si>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</si>
  <si>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</si>
  <si>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</si>
  <si>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</si>
  <si>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</si>
  <si>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</si>
  <si>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</si>
  <si>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</si>
  <si>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</si>
  <si>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</si>
  <si>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</si>
  <si>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</si>
  <si>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</si>
  <si>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</si>
  <si>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</si>
  <si>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</si>
  <si>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</si>
  <si>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</si>
  <si>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</si>
  <si>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</si>
  <si>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</si>
  <si>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</si>
  <si>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</si>
  <si>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</si>
  <si>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</si>
  <si>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</si>
  <si>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</si>
  <si>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</si>
  <si>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</si>
  <si>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</si>
  <si>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</si>
  <si>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</si>
  <si>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</si>
  <si>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</si>
  <si>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</si>
  <si>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</si>
  <si>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</si>
  <si>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</si>
  <si>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</si>
  <si>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</si>
  <si>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</si>
  <si>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</si>
  <si>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</si>
  <si>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</si>
  <si>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</si>
  <si>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</si>
  <si>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</si>
  <si>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</si>
  <si>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</si>
  <si>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</si>
  <si>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</si>
  <si>
    <t>A = A* + A1 + A2 + A3 + A4 + A5 + A6 - A7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</si>
  <si>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</si>
  <si>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</si>
  <si>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</si>
  <si>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</si>
  <si>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</si>
  <si>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</si>
  <si>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</si>
  <si>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</si>
  <si>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Step 3a</t>
  </si>
  <si>
    <t>Label this: A6</t>
  </si>
  <si>
    <t>GMM ARC</t>
  </si>
  <si>
    <t>Label this: A7</t>
  </si>
  <si>
    <t>Step 3b</t>
  </si>
  <si>
    <t xml:space="preserve"> Apply the basic formula for capital required for unregistered reinsurance</t>
  </si>
  <si>
    <t>20% x (A + B + C - D)</t>
  </si>
  <si>
    <t>Final capital required for unregistered reinsurance:</t>
  </si>
  <si>
    <t>Calculate deduction from capital required for unregistered reinsurance</t>
  </si>
  <si>
    <t>( D + E + F + G +  H)  - ( A + B + C)</t>
  </si>
  <si>
    <t>Calculate the capital required for unregistered reinsurance.</t>
  </si>
  <si>
    <t>This insurer uses both GMA and PAA to measure reinsurance contracts:</t>
  </si>
  <si>
    <t>Capital Required - Deduction for Unregistered Reinsurance</t>
  </si>
  <si>
    <t xml:space="preserve">Premiums Payable &amp; Other acceptable non-owned deposits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</si>
</sst>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4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Border="1"/>
    <xf numFmtId="3" fontId="1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9" fillId="0" borderId="0" xfId="0" applyNumberFormat="1" applyFont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1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ill="1" applyBorder="1"/>
    <xf numFmtId="3" fontId="0" fillId="0" borderId="14" xfId="0" quotePrefix="1" applyNumberFormat="1" applyBorder="1" applyAlignment="1">
      <alignment horizontal="right"/>
    </xf>
    <xf numFmtId="0" fontId="0" fillId="0" borderId="1" xfId="0" applyBorder="1"/>
    <xf numFmtId="165" fontId="0" fillId="3" borderId="6" xfId="0" applyNumberForma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0" fillId="0" borderId="0" xfId="0" applyFont="1"/>
    <xf numFmtId="0" fontId="0" fillId="2" borderId="0" xfId="0" quotePrefix="1" applyFill="1"/>
    <xf numFmtId="3" fontId="0" fillId="0" borderId="1" xfId="0" applyNumberForma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8" borderId="7" xfId="0" applyNumberForma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0" fillId="3" borderId="7" xfId="0" applyNumberForma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0" fontId="0" fillId="0" borderId="3" xfId="0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/>
    <xf numFmtId="0" fontId="22" fillId="0" borderId="0" xfId="9" applyFont="1" applyAlignment="1">
      <alignment horizontal="center"/>
    </xf>
    <xf numFmtId="0" fontId="23" fillId="0" borderId="0" xfId="9" applyFont="1" applyAlignment="1">
      <alignment horizontal="center"/>
    </xf>
    <xf numFmtId="0" fontId="24" fillId="0" borderId="9" xfId="9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22" fillId="0" borderId="7" xfId="9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Border="1"/>
    <xf numFmtId="0" fontId="0" fillId="0" borderId="6" xfId="0" applyBorder="1"/>
    <xf numFmtId="0" fontId="8" fillId="6" borderId="0" xfId="4"/>
    <xf numFmtId="9" fontId="0" fillId="0" borderId="0" xfId="5" applyFont="1" applyAlignment="1">
      <alignment horizontal="left"/>
    </xf>
    <xf numFmtId="9" fontId="0" fillId="3" borderId="2" xfId="0" applyNumberForma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0" fontId="0" fillId="0" borderId="11" xfId="0" applyBorder="1"/>
    <xf numFmtId="0" fontId="0" fillId="0" borderId="12" xfId="0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ill="1" applyBorder="1"/>
    <xf numFmtId="165" fontId="0" fillId="3" borderId="2" xfId="0" applyNumberForma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/>
    <xf numFmtId="4" fontId="0" fillId="3" borderId="3" xfId="0" applyNumberFormat="1" applyFill="1" applyBorder="1"/>
    <xf numFmtId="167" fontId="12" fillId="0" borderId="0" xfId="0" applyNumberFormat="1" applyFont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4" fontId="0" fillId="0" borderId="0" xfId="0" applyNumberFormat="1"/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Border="1"/>
    <xf numFmtId="167" fontId="0" fillId="0" borderId="1" xfId="0" applyNumberForma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10" fontId="0" fillId="0" borderId="3" xfId="5" applyNumberFormat="1" applyFont="1" applyFill="1" applyBorder="1"/>
    <xf numFmtId="2" fontId="8" fillId="6" borderId="8" xfId="4" applyNumberFormat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Border="1" applyAlignment="1">
      <alignment horizontal="center" wrapText="1"/>
    </xf>
    <xf numFmtId="0" fontId="24" fillId="0" borderId="6" xfId="9" applyFont="1" applyBorder="1" applyAlignment="1">
      <alignment horizontal="center" wrapText="1"/>
    </xf>
    <xf numFmtId="0" fontId="22" fillId="0" borderId="6" xfId="9" applyFont="1" applyBorder="1" applyAlignment="1">
      <alignment horizontal="center"/>
    </xf>
    <xf numFmtId="0" fontId="0" fillId="0" borderId="2" xfId="0" applyBorder="1"/>
    <xf numFmtId="0" fontId="23" fillId="0" borderId="1" xfId="9" applyFont="1" applyBorder="1" applyAlignment="1">
      <alignment horizontal="center"/>
    </xf>
    <xf numFmtId="9" fontId="0" fillId="0" borderId="0" xfId="0" applyNumberFormat="1"/>
    <xf numFmtId="165" fontId="8" fillId="6" borderId="0" xfId="4" applyNumberFormat="1" applyAlignment="1">
      <alignment horizontal="center"/>
    </xf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ColWidth="9.140625" defaultRowHeight="15" x14ac:dyDescent="0.25"/>
  <cols>
    <col min="1" max="1" width="13.5703125" style="1" customWidth="1"/>
    <col min="2" max="2" width="22.7109375" style="8" customWidth="1"/>
    <col min="3" max="3" width="58.28515625" style="1" bestFit="1" customWidth="1"/>
    <col min="4" max="16384" width="9.140625" style="1"/>
  </cols>
  <sheetData>
    <row r="5" spans="1:4" x14ac:dyDescent="0.25">
      <c r="A5" s="243" t="s">
        <v>468</v>
      </c>
      <c r="B5" s="243"/>
      <c r="C5" s="243"/>
    </row>
    <row r="6" spans="1:4" ht="21" customHeight="1" x14ac:dyDescent="0.25">
      <c r="A6" s="243"/>
      <c r="B6" s="243"/>
      <c r="C6" s="243"/>
    </row>
    <row r="9" spans="1:4" x14ac:dyDescent="0.25">
      <c r="A9" s="2" t="s">
        <v>0</v>
      </c>
      <c r="B9" s="9" t="s">
        <v>1</v>
      </c>
      <c r="C9" s="9" t="s">
        <v>2</v>
      </c>
    </row>
    <row r="10" spans="1:4" x14ac:dyDescent="0.25">
      <c r="A10" s="7">
        <v>1</v>
      </c>
      <c r="B10" s="8" t="s">
        <v>12</v>
      </c>
      <c r="C10" s="1" t="str">
        <f>'Problem 1'!C3</f>
        <v>Basic MCT Ratio Calculation</v>
      </c>
      <c r="D10" s="75"/>
    </row>
    <row r="11" spans="1:4" x14ac:dyDescent="0.25">
      <c r="A11" s="7">
        <v>2</v>
      </c>
      <c r="B11" s="8" t="s">
        <v>13</v>
      </c>
      <c r="C11" s="1" t="str">
        <f>'Problem 2'!C3</f>
        <v>Capital Available - TOTAL</v>
      </c>
    </row>
    <row r="12" spans="1:4" x14ac:dyDescent="0.25">
      <c r="A12" s="7">
        <v>3</v>
      </c>
      <c r="B12" s="8" t="s">
        <v>14</v>
      </c>
      <c r="C12" s="1" t="str">
        <f>'Problem 3'!C3</f>
        <v>Capital Required - Deduction for Unregistered Reinsurance</v>
      </c>
    </row>
    <row r="13" spans="1:4" x14ac:dyDescent="0.25">
      <c r="A13" s="7">
        <v>4</v>
      </c>
      <c r="B13" s="8" t="s">
        <v>15</v>
      </c>
      <c r="C13" s="1" t="str">
        <f>'Problem 4'!C3</f>
        <v>Capital Required - Insurance Risk - TOTAL</v>
      </c>
    </row>
    <row r="14" spans="1:4" x14ac:dyDescent="0.25">
      <c r="A14" s="7">
        <v>5</v>
      </c>
      <c r="B14" s="8" t="s">
        <v>260</v>
      </c>
      <c r="C14" s="1" t="str">
        <f>'Problem 5'!C3</f>
        <v>Capital Required - Insurance Risk (Earthquake Component)</v>
      </c>
    </row>
    <row r="15" spans="1:4" x14ac:dyDescent="0.25">
      <c r="A15" s="7">
        <v>6</v>
      </c>
      <c r="B15" s="8" t="s">
        <v>261</v>
      </c>
      <c r="C15" s="1" t="str">
        <f>'Problem 6'!C3</f>
        <v>Capital Required - Market Risk - TOTAL</v>
      </c>
    </row>
    <row r="16" spans="1:4" x14ac:dyDescent="0.25">
      <c r="A16" s="7">
        <v>7</v>
      </c>
      <c r="B16" s="8" t="s">
        <v>330</v>
      </c>
      <c r="C16" s="1" t="str">
        <f>'Problem 7'!C3</f>
        <v>Capital Required - Market Risk - Interest Rates</v>
      </c>
    </row>
    <row r="17" spans="1:3" x14ac:dyDescent="0.25">
      <c r="A17" s="7">
        <v>8</v>
      </c>
      <c r="B17" s="8" t="s">
        <v>331</v>
      </c>
      <c r="C17" s="162" t="str">
        <f>'Problem 8'!C3</f>
        <v>Capital Required - Market Risk - Interest Rates (Harder version)</v>
      </c>
    </row>
    <row r="18" spans="1:3" x14ac:dyDescent="0.25">
      <c r="A18" s="7">
        <v>9</v>
      </c>
      <c r="B18" s="8" t="s">
        <v>379</v>
      </c>
      <c r="C18" s="162" t="str">
        <f>'Problem 9'!C3</f>
        <v>Capital Required - Credit Risk - TOTAL</v>
      </c>
    </row>
    <row r="19" spans="1:3" x14ac:dyDescent="0.25">
      <c r="A19" s="7">
        <v>10</v>
      </c>
      <c r="B19" s="8" t="s">
        <v>432</v>
      </c>
      <c r="C19" s="162" t="str">
        <f>'Problem 10'!C3</f>
        <v>Capital Required - Operational Risk - TOTAL</v>
      </c>
    </row>
    <row r="20" spans="1:3" x14ac:dyDescent="0.25">
      <c r="A20" s="3"/>
    </row>
    <row r="21" spans="1:3" x14ac:dyDescent="0.25">
      <c r="A21" s="3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433</v>
      </c>
      <c r="N3" s="14" t="s">
        <v>8</v>
      </c>
      <c r="O3" s="36" t="s">
        <v>27</v>
      </c>
      <c r="P3" t="s">
        <v>434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435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99" t="s">
        <v>436</v>
      </c>
      <c r="Q5" s="199" t="s">
        <v>10</v>
      </c>
      <c r="R5" s="199" t="s">
        <v>268</v>
      </c>
      <c r="S5" s="199" t="s">
        <v>146</v>
      </c>
      <c r="T5" s="102" t="s">
        <v>437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2" t="s">
        <v>438</v>
      </c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200"/>
      <c r="Q7" s="201"/>
      <c r="R7" s="201"/>
      <c r="S7" s="201"/>
      <c r="T7" s="201"/>
      <c r="U7" s="202"/>
      <c r="V7" s="203"/>
      <c r="W7" s="204" t="s">
        <v>439</v>
      </c>
      <c r="X7" s="205" t="s">
        <v>436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0"/>
      <c r="D8" s="201"/>
      <c r="E8" s="201"/>
      <c r="F8" s="201"/>
      <c r="G8" s="201"/>
      <c r="H8" s="202"/>
      <c r="I8" s="203"/>
      <c r="J8" s="204" t="s">
        <v>439</v>
      </c>
      <c r="K8" s="5"/>
      <c r="L8" s="5"/>
      <c r="M8" s="5"/>
      <c r="N8" s="6" t="s">
        <v>8</v>
      </c>
      <c r="O8" s="5"/>
      <c r="P8" s="206" t="s">
        <v>440</v>
      </c>
      <c r="Q8" s="85"/>
      <c r="R8" s="85"/>
      <c r="S8" s="85"/>
      <c r="T8" s="85"/>
      <c r="U8" s="207"/>
      <c r="V8" s="208" t="s">
        <v>268</v>
      </c>
      <c r="W8" s="184" t="s">
        <v>441</v>
      </c>
      <c r="X8" s="209" t="s">
        <v>442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6" t="s">
        <v>440</v>
      </c>
      <c r="D9" s="85"/>
      <c r="E9" s="85"/>
      <c r="F9" s="85"/>
      <c r="G9" s="85"/>
      <c r="H9" s="207"/>
      <c r="I9" s="208" t="s">
        <v>268</v>
      </c>
      <c r="J9" s="184" t="s">
        <v>441</v>
      </c>
      <c r="K9" s="5"/>
      <c r="L9" s="5"/>
      <c r="M9" s="5"/>
      <c r="N9" s="6" t="s">
        <v>8</v>
      </c>
      <c r="O9" s="5"/>
      <c r="P9" s="20" t="str">
        <f>C10</f>
        <v>AAA long-term obligations (1 - 5 years maturity)</v>
      </c>
      <c r="Q9" s="5"/>
      <c r="R9" s="5"/>
      <c r="S9" s="5"/>
      <c r="T9" s="5"/>
      <c r="U9" s="50"/>
      <c r="V9" s="26">
        <f>I10</f>
        <v>9900</v>
      </c>
      <c r="W9" s="210">
        <f t="shared" ref="W9:W14" si="0">J10</f>
        <v>5.0000000000000001E-3</v>
      </c>
      <c r="X9" s="211">
        <f>V9*W9</f>
        <v>49.5</v>
      </c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443</v>
      </c>
      <c r="D10" s="5"/>
      <c r="E10" s="5"/>
      <c r="F10" s="5"/>
      <c r="G10" s="5"/>
      <c r="H10" s="50"/>
      <c r="I10" s="82">
        <v>9900</v>
      </c>
      <c r="J10" s="157">
        <v>5.0000000000000001E-3</v>
      </c>
      <c r="K10" s="5"/>
      <c r="L10" s="5"/>
      <c r="M10" s="5"/>
      <c r="N10" s="6" t="s">
        <v>8</v>
      </c>
      <c r="O10" s="5"/>
      <c r="P10" s="20" t="str">
        <f t="shared" ref="P10:P14" si="1">C11</f>
        <v>BBB long-term obligations (more than 5 years maturity)</v>
      </c>
      <c r="Q10" s="5"/>
      <c r="R10" s="5"/>
      <c r="S10" s="5"/>
      <c r="T10" s="5"/>
      <c r="U10" s="50"/>
      <c r="V10" s="26">
        <f t="shared" ref="V10:V14" si="2">I11</f>
        <v>1300</v>
      </c>
      <c r="W10" s="210">
        <f t="shared" si="0"/>
        <v>4.7500000000000001E-2</v>
      </c>
      <c r="X10" s="211">
        <f t="shared" ref="X10:X14" si="3">V10*W10</f>
        <v>61.75</v>
      </c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444</v>
      </c>
      <c r="D11" s="5"/>
      <c r="E11" s="5"/>
      <c r="F11" s="5"/>
      <c r="G11" s="5"/>
      <c r="H11" s="50"/>
      <c r="I11" s="82">
        <v>1300</v>
      </c>
      <c r="J11" s="157">
        <v>4.7500000000000001E-2</v>
      </c>
      <c r="K11" s="5"/>
      <c r="L11" s="5"/>
      <c r="M11" s="5"/>
      <c r="N11" s="6" t="s">
        <v>8</v>
      </c>
      <c r="O11" s="5"/>
      <c r="P11" s="20" t="str">
        <f t="shared" si="1"/>
        <v>A-2, F2, P-2, R-2 or equivalent short-term obligations</v>
      </c>
      <c r="Q11" s="5"/>
      <c r="R11" s="5"/>
      <c r="S11" s="5"/>
      <c r="T11" s="5"/>
      <c r="U11" s="50"/>
      <c r="V11" s="26">
        <f t="shared" si="2"/>
        <v>4800</v>
      </c>
      <c r="W11" s="210">
        <f t="shared" si="0"/>
        <v>5.0000000000000001E-3</v>
      </c>
      <c r="X11" s="211">
        <f t="shared" si="3"/>
        <v>24</v>
      </c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445</v>
      </c>
      <c r="D12" s="5"/>
      <c r="E12" s="5"/>
      <c r="F12" s="5"/>
      <c r="G12" s="5"/>
      <c r="H12" s="50"/>
      <c r="I12" s="82">
        <v>4800</v>
      </c>
      <c r="J12" s="157">
        <v>5.0000000000000001E-3</v>
      </c>
      <c r="K12" s="5"/>
      <c r="L12" s="5"/>
      <c r="M12" s="5"/>
      <c r="N12" s="6" t="s">
        <v>8</v>
      </c>
      <c r="O12" s="5"/>
      <c r="P12" s="21" t="str">
        <f t="shared" si="1"/>
        <v>Unrated short-term obligations</v>
      </c>
      <c r="Q12" s="22"/>
      <c r="R12" s="22"/>
      <c r="S12" s="22"/>
      <c r="T12" s="22"/>
      <c r="U12" s="25"/>
      <c r="V12" s="151">
        <f t="shared" si="2"/>
        <v>1000</v>
      </c>
      <c r="W12" s="212">
        <f t="shared" si="0"/>
        <v>0.06</v>
      </c>
      <c r="X12" s="213">
        <f t="shared" si="3"/>
        <v>60</v>
      </c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446</v>
      </c>
      <c r="D13" s="22"/>
      <c r="E13" s="22"/>
      <c r="F13" s="22"/>
      <c r="G13" s="22"/>
      <c r="H13" s="25"/>
      <c r="I13" s="84">
        <v>1000</v>
      </c>
      <c r="J13" s="160">
        <v>0.06</v>
      </c>
      <c r="K13" s="5"/>
      <c r="L13" s="5"/>
      <c r="M13" s="5"/>
      <c r="N13" s="6" t="s">
        <v>8</v>
      </c>
      <c r="O13" s="5"/>
      <c r="P13" s="20" t="str">
        <f t="shared" si="1"/>
        <v>Cash</v>
      </c>
      <c r="Q13" s="5"/>
      <c r="R13" s="5"/>
      <c r="S13" s="5"/>
      <c r="T13" s="5"/>
      <c r="U13" s="50"/>
      <c r="V13" s="26">
        <f t="shared" si="2"/>
        <v>5400</v>
      </c>
      <c r="W13" s="210">
        <f t="shared" si="0"/>
        <v>0</v>
      </c>
      <c r="X13" s="211">
        <f t="shared" si="3"/>
        <v>0</v>
      </c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447</v>
      </c>
      <c r="D14" s="5"/>
      <c r="E14" s="5"/>
      <c r="F14" s="5"/>
      <c r="G14" s="5"/>
      <c r="H14" s="50"/>
      <c r="I14" s="82">
        <v>5400</v>
      </c>
      <c r="J14" s="157">
        <v>0</v>
      </c>
      <c r="K14" s="5"/>
      <c r="L14" s="5"/>
      <c r="M14" s="5"/>
      <c r="N14" s="6" t="s">
        <v>8</v>
      </c>
      <c r="O14" s="5"/>
      <c r="P14" s="21" t="str">
        <f t="shared" si="1"/>
        <v>Outstanding receivables &lt; 60 days overdue from agent</v>
      </c>
      <c r="Q14" s="22"/>
      <c r="R14" s="22"/>
      <c r="S14" s="22"/>
      <c r="T14" s="22"/>
      <c r="U14" s="25"/>
      <c r="V14" s="151">
        <f t="shared" si="2"/>
        <v>2500</v>
      </c>
      <c r="W14" s="212">
        <f t="shared" si="0"/>
        <v>0.05</v>
      </c>
      <c r="X14" s="213">
        <f t="shared" si="3"/>
        <v>125</v>
      </c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448</v>
      </c>
      <c r="D15" s="22"/>
      <c r="E15" s="22"/>
      <c r="F15" s="22"/>
      <c r="G15" s="22"/>
      <c r="H15" s="25"/>
      <c r="I15" s="84">
        <v>2500</v>
      </c>
      <c r="J15" s="160">
        <v>0.05</v>
      </c>
      <c r="K15" s="5"/>
      <c r="L15" s="5"/>
      <c r="M15" s="5"/>
      <c r="N15" s="6" t="s">
        <v>8</v>
      </c>
      <c r="O15" s="5"/>
      <c r="X15" s="214">
        <f>SUM(X9:X14)</f>
        <v>320.25</v>
      </c>
      <c r="Y15" s="49" t="s">
        <v>41</v>
      </c>
      <c r="Z15" s="109" t="s">
        <v>314</v>
      </c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12" t="s">
        <v>449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1" t="s">
        <v>144</v>
      </c>
      <c r="P17" t="s">
        <v>450</v>
      </c>
      <c r="Y17" s="5"/>
      <c r="Z17" s="5"/>
      <c r="AA17" s="5"/>
      <c r="AB17" s="6" t="s">
        <v>8</v>
      </c>
      <c r="AC17" s="5"/>
    </row>
    <row r="18" spans="3:29" ht="15" customHeight="1" x14ac:dyDescent="0.25">
      <c r="C18" s="200"/>
      <c r="D18" s="201"/>
      <c r="E18" s="201"/>
      <c r="F18" s="201"/>
      <c r="G18" s="203"/>
      <c r="H18" s="204" t="s">
        <v>451</v>
      </c>
      <c r="I18" s="203"/>
      <c r="J18" s="204" t="s">
        <v>439</v>
      </c>
      <c r="K18" s="5"/>
      <c r="L18" s="5"/>
      <c r="M18" s="5"/>
      <c r="N18" s="6" t="s">
        <v>8</v>
      </c>
      <c r="O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06" t="s">
        <v>440</v>
      </c>
      <c r="D19" s="85"/>
      <c r="E19" s="85"/>
      <c r="F19" s="85"/>
      <c r="G19" s="215" t="s">
        <v>452</v>
      </c>
      <c r="H19" s="184" t="s">
        <v>453</v>
      </c>
      <c r="I19" s="215" t="s">
        <v>454</v>
      </c>
      <c r="J19" s="184" t="s">
        <v>441</v>
      </c>
      <c r="K19" s="5"/>
      <c r="L19" s="5"/>
      <c r="M19" s="5"/>
      <c r="N19" s="6" t="s">
        <v>8</v>
      </c>
      <c r="O19" s="5"/>
      <c r="P19" s="199" t="s">
        <v>436</v>
      </c>
      <c r="Q19" s="199" t="s">
        <v>10</v>
      </c>
      <c r="R19" s="199" t="s">
        <v>35</v>
      </c>
      <c r="S19" s="199" t="s">
        <v>452</v>
      </c>
      <c r="T19" s="102" t="s">
        <v>11</v>
      </c>
      <c r="U19" s="199" t="s">
        <v>455</v>
      </c>
      <c r="V19" s="199" t="s">
        <v>37</v>
      </c>
      <c r="W19" s="199" t="s">
        <v>146</v>
      </c>
      <c r="X19" s="199" t="s">
        <v>454</v>
      </c>
      <c r="Y19" s="199" t="s">
        <v>146</v>
      </c>
      <c r="Z19" s="216" t="s">
        <v>437</v>
      </c>
      <c r="AA19" s="5"/>
      <c r="AB19" s="6" t="s">
        <v>8</v>
      </c>
      <c r="AC19" s="5"/>
    </row>
    <row r="20" spans="3:29" ht="15" customHeight="1" x14ac:dyDescent="0.25">
      <c r="C20" s="20" t="s">
        <v>456</v>
      </c>
      <c r="D20" s="5"/>
      <c r="E20" s="5"/>
      <c r="F20" s="5"/>
      <c r="G20" s="82">
        <v>5000</v>
      </c>
      <c r="H20" s="23">
        <v>500</v>
      </c>
      <c r="I20" s="217">
        <v>1</v>
      </c>
      <c r="J20" s="157">
        <v>0.02</v>
      </c>
      <c r="K20" s="5"/>
      <c r="L20" s="5"/>
      <c r="M20" s="5"/>
      <c r="N20" s="6" t="s">
        <v>8</v>
      </c>
      <c r="O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457</v>
      </c>
      <c r="D21" s="5"/>
      <c r="E21" s="5"/>
      <c r="F21" s="5"/>
      <c r="G21" s="82">
        <v>1600</v>
      </c>
      <c r="H21" s="23">
        <v>320</v>
      </c>
      <c r="I21" s="217">
        <v>1</v>
      </c>
      <c r="J21" s="157">
        <v>4.7500000000000001E-2</v>
      </c>
      <c r="K21" s="5"/>
      <c r="L21" s="5"/>
      <c r="M21" s="5"/>
      <c r="N21" s="6" t="s">
        <v>8</v>
      </c>
      <c r="O21" s="5"/>
      <c r="P21" s="200"/>
      <c r="Q21" s="201"/>
      <c r="R21" s="201"/>
      <c r="S21" s="201"/>
      <c r="T21" s="203"/>
      <c r="U21" s="204" t="s">
        <v>451</v>
      </c>
      <c r="V21" s="203"/>
      <c r="W21" s="204" t="s">
        <v>439</v>
      </c>
      <c r="X21" s="218" t="s">
        <v>436</v>
      </c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458</v>
      </c>
      <c r="D22" s="5"/>
      <c r="E22" s="5"/>
      <c r="F22" s="5"/>
      <c r="G22" s="82">
        <v>1500</v>
      </c>
      <c r="H22" s="23">
        <v>450</v>
      </c>
      <c r="I22" s="217">
        <v>0.5</v>
      </c>
      <c r="J22" s="157">
        <v>5.0000000000000001E-3</v>
      </c>
      <c r="K22" s="5"/>
      <c r="L22" s="5"/>
      <c r="M22" s="5"/>
      <c r="N22" s="6" t="s">
        <v>8</v>
      </c>
      <c r="O22" s="5"/>
      <c r="P22" s="206" t="s">
        <v>440</v>
      </c>
      <c r="Q22" s="85"/>
      <c r="R22" s="85"/>
      <c r="S22" s="85"/>
      <c r="T22" s="215" t="s">
        <v>452</v>
      </c>
      <c r="U22" s="184" t="s">
        <v>453</v>
      </c>
      <c r="V22" s="215" t="s">
        <v>454</v>
      </c>
      <c r="W22" s="184" t="s">
        <v>441</v>
      </c>
      <c r="X22" s="219" t="s">
        <v>442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459</v>
      </c>
      <c r="D23" s="22"/>
      <c r="E23" s="22"/>
      <c r="F23" s="22"/>
      <c r="G23" s="84">
        <v>6500</v>
      </c>
      <c r="H23" s="24">
        <v>1950</v>
      </c>
      <c r="I23" s="220">
        <v>0.2</v>
      </c>
      <c r="J23" s="160">
        <v>0.06</v>
      </c>
      <c r="K23" s="5"/>
      <c r="L23" s="5"/>
      <c r="M23" s="5"/>
      <c r="N23" s="6" t="s">
        <v>8</v>
      </c>
      <c r="O23" s="5"/>
      <c r="P23" s="20" t="s">
        <v>456</v>
      </c>
      <c r="Q23" s="5"/>
      <c r="R23" s="5"/>
      <c r="S23" s="5"/>
      <c r="T23" s="26">
        <f>G20</f>
        <v>5000</v>
      </c>
      <c r="U23" s="50">
        <f t="shared" ref="U23:W23" si="4">H20</f>
        <v>500</v>
      </c>
      <c r="V23" s="221">
        <f t="shared" si="4"/>
        <v>1</v>
      </c>
      <c r="W23" s="210">
        <f t="shared" si="4"/>
        <v>0.02</v>
      </c>
      <c r="X23" s="222">
        <f>(T23-U23)*V23*W23</f>
        <v>90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20" t="s">
        <v>457</v>
      </c>
      <c r="Q24" s="5"/>
      <c r="R24" s="5"/>
      <c r="S24" s="5"/>
      <c r="T24" s="26">
        <f t="shared" ref="T24:W26" si="5">G21</f>
        <v>1600</v>
      </c>
      <c r="U24" s="50">
        <f t="shared" si="5"/>
        <v>320</v>
      </c>
      <c r="V24" s="221">
        <f t="shared" si="5"/>
        <v>1</v>
      </c>
      <c r="W24" s="210">
        <f t="shared" si="5"/>
        <v>4.7500000000000001E-2</v>
      </c>
      <c r="X24" s="222">
        <f t="shared" ref="X24:X26" si="6">(T24-U24)*V24*W24</f>
        <v>60.8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2" t="s">
        <v>452</v>
      </c>
      <c r="D25" s="14" t="s">
        <v>10</v>
      </c>
      <c r="E25" t="s">
        <v>460</v>
      </c>
      <c r="J25" s="5"/>
      <c r="K25" s="5"/>
      <c r="L25" s="5"/>
      <c r="M25" s="5"/>
      <c r="N25" s="6" t="s">
        <v>8</v>
      </c>
      <c r="O25" s="5"/>
      <c r="P25" s="20" t="s">
        <v>458</v>
      </c>
      <c r="Q25" s="5"/>
      <c r="R25" s="5"/>
      <c r="S25" s="5"/>
      <c r="T25" s="26">
        <f t="shared" si="5"/>
        <v>1500</v>
      </c>
      <c r="U25" s="50">
        <f t="shared" si="5"/>
        <v>450</v>
      </c>
      <c r="V25" s="221">
        <f t="shared" si="5"/>
        <v>0.5</v>
      </c>
      <c r="W25" s="210">
        <f t="shared" si="5"/>
        <v>5.0000000000000001E-3</v>
      </c>
      <c r="X25" s="222">
        <f t="shared" si="6"/>
        <v>2.625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72" t="s">
        <v>454</v>
      </c>
      <c r="D26" s="14" t="s">
        <v>10</v>
      </c>
      <c r="E26" t="s">
        <v>461</v>
      </c>
      <c r="J26" s="5"/>
      <c r="K26" s="5"/>
      <c r="L26" s="5"/>
      <c r="M26" s="5"/>
      <c r="N26" s="6" t="s">
        <v>8</v>
      </c>
      <c r="O26" s="5"/>
      <c r="P26" s="21" t="s">
        <v>459</v>
      </c>
      <c r="Q26" s="22"/>
      <c r="R26" s="22"/>
      <c r="S26" s="22"/>
      <c r="T26" s="151">
        <f t="shared" si="5"/>
        <v>6500</v>
      </c>
      <c r="U26" s="25">
        <f t="shared" si="5"/>
        <v>1950</v>
      </c>
      <c r="V26" s="223">
        <f t="shared" si="5"/>
        <v>0.2</v>
      </c>
      <c r="W26" s="212">
        <f t="shared" si="5"/>
        <v>0.06</v>
      </c>
      <c r="X26" s="224">
        <f t="shared" si="6"/>
        <v>54.6</v>
      </c>
      <c r="Y26" s="5"/>
      <c r="Z26" s="5"/>
      <c r="AA26" s="5"/>
      <c r="AB26" s="6" t="s">
        <v>8</v>
      </c>
      <c r="AC26" s="5"/>
    </row>
    <row r="27" spans="3:29" ht="15" customHeight="1" x14ac:dyDescent="0.25"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225">
        <f>SUM(X23:X26)</f>
        <v>208.02500000000001</v>
      </c>
      <c r="Y27" s="49" t="s">
        <v>41</v>
      </c>
      <c r="Z27" s="109" t="s">
        <v>314</v>
      </c>
      <c r="AA27" s="5"/>
      <c r="AB27" s="6" t="s">
        <v>8</v>
      </c>
      <c r="AC27" s="5"/>
    </row>
    <row r="28" spans="3:29" ht="15" customHeight="1" x14ac:dyDescent="0.25">
      <c r="C28" s="12" t="s">
        <v>462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200"/>
      <c r="D29" s="201"/>
      <c r="E29" s="201"/>
      <c r="F29" s="201"/>
      <c r="G29" s="201"/>
      <c r="H29" s="202"/>
      <c r="I29" s="203" t="s">
        <v>436</v>
      </c>
      <c r="J29" s="5"/>
      <c r="K29" s="5"/>
      <c r="L29" s="5"/>
      <c r="M29" s="5"/>
      <c r="N29" s="6" t="s">
        <v>8</v>
      </c>
      <c r="O29" s="43" t="s">
        <v>209</v>
      </c>
      <c r="P29" s="5" t="s">
        <v>463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6" t="s">
        <v>440</v>
      </c>
      <c r="D30" s="85"/>
      <c r="E30" s="85"/>
      <c r="F30" s="85"/>
      <c r="G30" s="85"/>
      <c r="H30" s="207"/>
      <c r="I30" s="208" t="s">
        <v>442</v>
      </c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1" t="s">
        <v>464</v>
      </c>
      <c r="D31" s="22"/>
      <c r="E31" s="22"/>
      <c r="F31" s="22"/>
      <c r="G31" s="22"/>
      <c r="H31" s="25"/>
      <c r="I31" s="84">
        <v>50</v>
      </c>
      <c r="J31" s="5"/>
      <c r="K31" s="5"/>
      <c r="L31" s="5"/>
      <c r="M31" s="5"/>
      <c r="N31" s="6" t="s">
        <v>8</v>
      </c>
      <c r="O31" s="5"/>
      <c r="P31" s="5" t="s">
        <v>465</v>
      </c>
      <c r="Q31" s="5"/>
      <c r="R31" s="5"/>
      <c r="S31" s="226">
        <f>X15</f>
        <v>320.25</v>
      </c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L32" s="5"/>
      <c r="M32" s="5"/>
      <c r="N32" s="6" t="s">
        <v>8</v>
      </c>
      <c r="O32" s="5"/>
      <c r="P32" s="5" t="s">
        <v>466</v>
      </c>
      <c r="Q32" s="5"/>
      <c r="R32" s="5"/>
      <c r="S32" s="227">
        <f>X27</f>
        <v>208.02500000000001</v>
      </c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 t="s">
        <v>467</v>
      </c>
      <c r="Q33" s="5"/>
      <c r="R33" s="5"/>
      <c r="S33" s="186">
        <f>I31</f>
        <v>50</v>
      </c>
      <c r="T33" s="49" t="s">
        <v>41</v>
      </c>
      <c r="U33" s="17" t="s">
        <v>237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228">
        <f>SUM(S31:S33)</f>
        <v>578.27499999999998</v>
      </c>
      <c r="T34" s="229" t="s">
        <v>41</v>
      </c>
      <c r="U34" s="230" t="s">
        <v>159</v>
      </c>
      <c r="V34" s="19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336</v>
      </c>
      <c r="N3" s="14" t="s">
        <v>8</v>
      </c>
      <c r="O3" s="36" t="s">
        <v>27</v>
      </c>
      <c r="P3" t="s">
        <v>286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287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288</v>
      </c>
      <c r="Q5" s="6" t="s">
        <v>10</v>
      </c>
      <c r="R5" s="6" t="s">
        <v>54</v>
      </c>
      <c r="S5" s="6" t="s">
        <v>18</v>
      </c>
      <c r="T5" s="6" t="s">
        <v>56</v>
      </c>
      <c r="U5" s="6" t="s">
        <v>18</v>
      </c>
      <c r="V5" s="6" t="s">
        <v>58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/>
      <c r="Q6" s="6" t="s">
        <v>10</v>
      </c>
      <c r="R6" s="6">
        <f>E11</f>
        <v>40600</v>
      </c>
      <c r="S6" s="6" t="s">
        <v>18</v>
      </c>
      <c r="T6" s="6">
        <f>E12</f>
        <v>32700</v>
      </c>
      <c r="U6" s="6" t="s">
        <v>18</v>
      </c>
      <c r="V6" s="6">
        <f>E13</f>
        <v>2570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C7" s="5" t="s">
        <v>289</v>
      </c>
      <c r="D7" s="44" t="s">
        <v>290</v>
      </c>
      <c r="E7" s="5" t="s">
        <v>291</v>
      </c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6"/>
      <c r="Q7" s="6" t="s">
        <v>10</v>
      </c>
      <c r="R7" s="6">
        <f>R6+T6+V6</f>
        <v>75870</v>
      </c>
      <c r="S7" s="6"/>
      <c r="T7" s="6"/>
      <c r="U7" s="6"/>
      <c r="V7" s="6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5" t="s">
        <v>292</v>
      </c>
      <c r="D8" s="44" t="s">
        <v>290</v>
      </c>
      <c r="E8" s="5" t="s">
        <v>293</v>
      </c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 t="s">
        <v>8</v>
      </c>
      <c r="O9" s="5"/>
      <c r="P9" s="5" t="s">
        <v>294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12" t="s">
        <v>50</v>
      </c>
      <c r="D10" s="5"/>
      <c r="E10" s="5"/>
      <c r="F10" s="147" t="s">
        <v>51</v>
      </c>
      <c r="G10" s="5"/>
      <c r="H10" s="5"/>
      <c r="I10" s="5"/>
      <c r="J10" s="5"/>
      <c r="K10" s="5"/>
      <c r="L10" s="5"/>
      <c r="M10" s="5"/>
      <c r="N10" s="6" t="s">
        <v>8</v>
      </c>
      <c r="O10" s="5"/>
      <c r="P10" s="5"/>
      <c r="Q10" s="6" t="s">
        <v>10</v>
      </c>
      <c r="R10" s="93">
        <v>0.3</v>
      </c>
      <c r="S10" s="6" t="s">
        <v>146</v>
      </c>
      <c r="T10" s="6" t="s">
        <v>288</v>
      </c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18" t="s">
        <v>295</v>
      </c>
      <c r="D11" s="53"/>
      <c r="E11" s="57">
        <v>40600</v>
      </c>
      <c r="F11" s="6" t="s">
        <v>54</v>
      </c>
      <c r="G11" s="5"/>
      <c r="H11" s="5"/>
      <c r="I11" s="5"/>
      <c r="J11" s="5"/>
      <c r="K11" s="5"/>
      <c r="L11" s="5"/>
      <c r="M11" s="5"/>
      <c r="N11" s="6" t="s">
        <v>8</v>
      </c>
      <c r="O11" s="5"/>
      <c r="P11" s="5"/>
      <c r="Q11" s="6" t="s">
        <v>10</v>
      </c>
      <c r="R11" s="93">
        <v>0.3</v>
      </c>
      <c r="S11" s="6" t="s">
        <v>146</v>
      </c>
      <c r="T11" s="6">
        <f>R7</f>
        <v>75870</v>
      </c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296</v>
      </c>
      <c r="D12" s="50"/>
      <c r="E12" s="23">
        <v>32700</v>
      </c>
      <c r="F12" s="6" t="s">
        <v>56</v>
      </c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/>
      <c r="Q12" s="6" t="s">
        <v>10</v>
      </c>
      <c r="R12" s="148">
        <f>R11*T11</f>
        <v>22761</v>
      </c>
      <c r="S12" s="6"/>
      <c r="T12" s="6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297</v>
      </c>
      <c r="D13" s="25"/>
      <c r="E13" s="24">
        <v>2570</v>
      </c>
      <c r="F13" s="6" t="s">
        <v>58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41" t="s">
        <v>144</v>
      </c>
      <c r="P14" s="5" t="s">
        <v>298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299</v>
      </c>
      <c r="D15" s="5"/>
      <c r="E15" s="5"/>
      <c r="F15" s="5"/>
      <c r="G15" s="5"/>
      <c r="H15" s="12" t="s">
        <v>300</v>
      </c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8" t="s">
        <v>301</v>
      </c>
      <c r="D16" s="53"/>
      <c r="E16" s="57">
        <v>997000</v>
      </c>
      <c r="F16" s="5"/>
      <c r="G16" s="5"/>
      <c r="H16" s="149" t="s">
        <v>289</v>
      </c>
      <c r="I16" s="57">
        <v>21960</v>
      </c>
      <c r="J16" s="5"/>
      <c r="K16" s="5"/>
      <c r="L16" s="5"/>
      <c r="M16" s="5"/>
      <c r="N16" s="6" t="s">
        <v>8</v>
      </c>
      <c r="O16" s="5"/>
      <c r="P16" s="12" t="s">
        <v>302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150" t="s">
        <v>50</v>
      </c>
      <c r="AB16" s="6" t="s">
        <v>8</v>
      </c>
      <c r="AC16" s="5"/>
    </row>
    <row r="17" spans="3:29" ht="15" customHeight="1" x14ac:dyDescent="0.25">
      <c r="C17" s="20" t="s">
        <v>303</v>
      </c>
      <c r="D17" s="50"/>
      <c r="E17" s="23">
        <v>244000</v>
      </c>
      <c r="F17" s="5"/>
      <c r="G17" s="5"/>
      <c r="H17" s="151" t="s">
        <v>292</v>
      </c>
      <c r="I17" s="24">
        <v>4900</v>
      </c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304</v>
      </c>
      <c r="D18" s="25"/>
      <c r="E18" s="24">
        <v>70000</v>
      </c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 t="s">
        <v>305</v>
      </c>
      <c r="Q18" s="5"/>
      <c r="R18" s="5"/>
      <c r="S18" s="5"/>
      <c r="T18" s="5"/>
      <c r="U18" s="5"/>
      <c r="V18" s="6" t="s">
        <v>10</v>
      </c>
      <c r="W18" s="130">
        <f>I28</f>
        <v>8.5000000000000006E-2</v>
      </c>
      <c r="X18" s="6" t="s">
        <v>146</v>
      </c>
      <c r="Y18" s="5">
        <f>R7</f>
        <v>75870</v>
      </c>
      <c r="Z18" s="6" t="s">
        <v>10</v>
      </c>
      <c r="AA18" s="5">
        <f>ROUND(W18*Y18,0)</f>
        <v>6449</v>
      </c>
      <c r="AB18" s="6" t="s">
        <v>8</v>
      </c>
      <c r="AC18" s="5"/>
    </row>
    <row r="19" spans="3:29" ht="15" customHeight="1" x14ac:dyDescent="0.25">
      <c r="C19" s="21" t="s">
        <v>306</v>
      </c>
      <c r="D19" s="25"/>
      <c r="E19" s="152">
        <v>0.25</v>
      </c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5" t="s">
        <v>307</v>
      </c>
      <c r="Q19" s="5"/>
      <c r="R19" s="5"/>
      <c r="S19" s="5"/>
      <c r="T19" s="5"/>
      <c r="U19" s="5"/>
      <c r="V19" s="6" t="s">
        <v>10</v>
      </c>
      <c r="W19" s="130">
        <f>I22</f>
        <v>2.5000000000000001E-2</v>
      </c>
      <c r="X19" s="6" t="s">
        <v>146</v>
      </c>
      <c r="Y19" s="5">
        <f>E16</f>
        <v>997000</v>
      </c>
      <c r="Z19" s="6" t="s">
        <v>10</v>
      </c>
      <c r="AA19" s="5">
        <f t="shared" ref="AA19:AA22" si="0">ROUND(W19*Y19,0)</f>
        <v>24925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 t="s">
        <v>308</v>
      </c>
      <c r="Q20" s="5"/>
      <c r="R20" s="5"/>
      <c r="S20" s="5"/>
      <c r="T20" s="5"/>
      <c r="U20" s="5"/>
      <c r="V20" s="6" t="s">
        <v>10</v>
      </c>
      <c r="W20" s="130">
        <f>I23</f>
        <v>1.7500000000000002E-2</v>
      </c>
      <c r="X20" s="6" t="s">
        <v>146</v>
      </c>
      <c r="Y20" s="5">
        <f>E17</f>
        <v>244000</v>
      </c>
      <c r="Z20" s="6" t="s">
        <v>10</v>
      </c>
      <c r="AA20" s="5">
        <f t="shared" si="0"/>
        <v>4270</v>
      </c>
      <c r="AB20" s="6" t="s">
        <v>8</v>
      </c>
      <c r="AC20" s="5"/>
    </row>
    <row r="21" spans="3:29" ht="15" customHeight="1" x14ac:dyDescent="0.25">
      <c r="C21" s="12" t="s">
        <v>309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310</v>
      </c>
      <c r="Q21" s="5"/>
      <c r="R21" s="5"/>
      <c r="S21" s="5"/>
      <c r="T21" s="5"/>
      <c r="U21" s="5"/>
      <c r="V21" s="6" t="s">
        <v>10</v>
      </c>
      <c r="W21" s="130">
        <f>I27</f>
        <v>2.5000000000000001E-2</v>
      </c>
      <c r="X21" s="6" t="s">
        <v>146</v>
      </c>
      <c r="Y21" s="5">
        <f>E18</f>
        <v>70000</v>
      </c>
      <c r="Z21" s="6" t="s">
        <v>10</v>
      </c>
      <c r="AA21" s="5">
        <f t="shared" si="0"/>
        <v>1750</v>
      </c>
      <c r="AB21" s="6" t="s">
        <v>8</v>
      </c>
      <c r="AC21" s="5"/>
    </row>
    <row r="22" spans="3:29" ht="15" customHeight="1" x14ac:dyDescent="0.25">
      <c r="C22" s="15" t="s">
        <v>311</v>
      </c>
      <c r="D22" s="153"/>
      <c r="E22" s="16"/>
      <c r="F22" s="16"/>
      <c r="G22" s="153"/>
      <c r="H22" s="46"/>
      <c r="I22" s="154">
        <v>2.5000000000000001E-2</v>
      </c>
      <c r="J22" s="155"/>
      <c r="K22" s="5"/>
      <c r="L22" s="5"/>
      <c r="M22" s="5"/>
      <c r="N22" s="6" t="s">
        <v>8</v>
      </c>
      <c r="O22" s="5"/>
      <c r="P22" s="5" t="s">
        <v>312</v>
      </c>
      <c r="Q22" s="5"/>
      <c r="R22" s="5"/>
      <c r="S22" s="5"/>
      <c r="T22" s="5"/>
      <c r="U22" s="5"/>
      <c r="V22" s="6" t="s">
        <v>10</v>
      </c>
      <c r="W22" s="130">
        <f>I27</f>
        <v>2.5000000000000001E-2</v>
      </c>
      <c r="X22" s="6" t="s">
        <v>146</v>
      </c>
      <c r="Y22" s="5">
        <f>MAX(E19-20%, 0)*(E16+E17)/(1+E19)</f>
        <v>49639.999999999985</v>
      </c>
      <c r="Z22" s="6" t="s">
        <v>10</v>
      </c>
      <c r="AA22" s="5">
        <f t="shared" si="0"/>
        <v>1241</v>
      </c>
      <c r="AB22" s="6" t="s">
        <v>8</v>
      </c>
      <c r="AC22" s="5"/>
    </row>
    <row r="23" spans="3:29" ht="15" customHeight="1" x14ac:dyDescent="0.25">
      <c r="C23" s="20" t="s">
        <v>313</v>
      </c>
      <c r="D23" s="156"/>
      <c r="E23" s="5"/>
      <c r="F23" s="5"/>
      <c r="G23" s="156"/>
      <c r="H23" s="50"/>
      <c r="I23" s="157">
        <v>1.7500000000000002E-2</v>
      </c>
      <c r="J23" s="15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6" t="s">
        <v>314</v>
      </c>
      <c r="Z23" s="44" t="s">
        <v>290</v>
      </c>
      <c r="AA23" s="158">
        <f>SUM(AA18:AA22)</f>
        <v>38635</v>
      </c>
      <c r="AB23" s="6" t="s">
        <v>8</v>
      </c>
      <c r="AC23" s="5"/>
    </row>
    <row r="24" spans="3:29" ht="15" customHeight="1" x14ac:dyDescent="0.25">
      <c r="C24" s="21" t="s">
        <v>315</v>
      </c>
      <c r="D24" s="159"/>
      <c r="E24" s="22"/>
      <c r="F24" s="22"/>
      <c r="G24" s="159"/>
      <c r="H24" s="25"/>
      <c r="I24" s="160">
        <v>7.4999999999999997E-3</v>
      </c>
      <c r="J24" s="15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20" t="s">
        <v>316</v>
      </c>
      <c r="D25" s="156"/>
      <c r="E25" s="5"/>
      <c r="F25" s="5"/>
      <c r="G25" s="156"/>
      <c r="H25" s="50"/>
      <c r="I25" s="157">
        <v>2.5000000000000001E-2</v>
      </c>
      <c r="J25" s="155"/>
      <c r="K25" s="5"/>
      <c r="L25" s="5"/>
      <c r="M25" s="5"/>
      <c r="N25" s="6" t="s">
        <v>8</v>
      </c>
      <c r="O25" s="5"/>
      <c r="P25" s="12" t="s">
        <v>317</v>
      </c>
      <c r="Q25" s="5"/>
      <c r="R25" s="5"/>
      <c r="S25" s="5"/>
      <c r="T25" s="5"/>
      <c r="U25" s="5"/>
      <c r="V25" s="5"/>
      <c r="W25" s="150" t="s">
        <v>50</v>
      </c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21" t="s">
        <v>318</v>
      </c>
      <c r="D26" s="159"/>
      <c r="E26" s="22"/>
      <c r="F26" s="22"/>
      <c r="G26" s="159"/>
      <c r="H26" s="25"/>
      <c r="I26" s="160">
        <v>7.4999999999999997E-3</v>
      </c>
      <c r="J26" s="15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20" t="s">
        <v>319</v>
      </c>
      <c r="D27" s="156"/>
      <c r="E27" s="5"/>
      <c r="F27" s="5"/>
      <c r="G27" s="156"/>
      <c r="H27" s="50"/>
      <c r="I27" s="157">
        <v>2.5000000000000001E-2</v>
      </c>
      <c r="J27" s="155"/>
      <c r="K27" s="5"/>
      <c r="L27" s="5"/>
      <c r="M27" s="5"/>
      <c r="N27" s="6" t="s">
        <v>8</v>
      </c>
      <c r="O27" s="5"/>
      <c r="P27" s="5" t="s">
        <v>320</v>
      </c>
      <c r="Q27" s="5"/>
      <c r="R27" s="6" t="s">
        <v>10</v>
      </c>
      <c r="S27" s="130">
        <f>I24</f>
        <v>7.4999999999999997E-3</v>
      </c>
      <c r="T27" s="6" t="s">
        <v>146</v>
      </c>
      <c r="U27" s="5">
        <f>I16</f>
        <v>21960</v>
      </c>
      <c r="V27" s="6" t="s">
        <v>10</v>
      </c>
      <c r="W27" s="5">
        <f t="shared" ref="W27:W28" si="1">ROUND(S27*U27,0)</f>
        <v>165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21" t="s">
        <v>321</v>
      </c>
      <c r="D28" s="159"/>
      <c r="E28" s="22"/>
      <c r="F28" s="22"/>
      <c r="G28" s="159"/>
      <c r="H28" s="25"/>
      <c r="I28" s="160">
        <v>8.5000000000000006E-2</v>
      </c>
      <c r="J28" s="155"/>
      <c r="K28" s="5"/>
      <c r="L28" s="5"/>
      <c r="M28" s="5"/>
      <c r="N28" s="6" t="s">
        <v>8</v>
      </c>
      <c r="O28" s="5"/>
      <c r="P28" s="5" t="s">
        <v>322</v>
      </c>
      <c r="Q28" s="5"/>
      <c r="R28" s="6" t="s">
        <v>10</v>
      </c>
      <c r="S28" s="130">
        <f>I26</f>
        <v>7.4999999999999997E-3</v>
      </c>
      <c r="T28" s="6" t="s">
        <v>146</v>
      </c>
      <c r="U28" s="5">
        <f>I17</f>
        <v>4900</v>
      </c>
      <c r="V28" s="6" t="s">
        <v>10</v>
      </c>
      <c r="W28" s="5">
        <f t="shared" si="1"/>
        <v>37</v>
      </c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158">
        <f>MAX(W27:W28)</f>
        <v>165</v>
      </c>
      <c r="X29" s="44" t="s">
        <v>41</v>
      </c>
      <c r="Y29" s="66" t="s">
        <v>323</v>
      </c>
      <c r="Z29" s="66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 t="s">
        <v>324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12" t="s">
        <v>302</v>
      </c>
      <c r="Q33" s="5"/>
      <c r="R33" s="6" t="s">
        <v>18</v>
      </c>
      <c r="S33" s="12" t="s">
        <v>317</v>
      </c>
      <c r="T33" s="5"/>
      <c r="U33" s="6" t="s">
        <v>10</v>
      </c>
      <c r="V33" s="120">
        <f>AA23+W29</f>
        <v>38800</v>
      </c>
      <c r="W33" s="44" t="s">
        <v>41</v>
      </c>
      <c r="X33" s="66" t="s">
        <v>325</v>
      </c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43" t="s">
        <v>209</v>
      </c>
      <c r="P35" s="5" t="s">
        <v>326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 t="s">
        <v>327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6" t="s">
        <v>10</v>
      </c>
      <c r="R38" s="6" t="s">
        <v>328</v>
      </c>
      <c r="S38" s="6" t="s">
        <v>35</v>
      </c>
      <c r="T38" s="161">
        <f>R12</f>
        <v>22761</v>
      </c>
      <c r="U38" s="6" t="s">
        <v>329</v>
      </c>
      <c r="V38" s="41">
        <f>V33</f>
        <v>38800</v>
      </c>
      <c r="W38" s="6" t="s">
        <v>37</v>
      </c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43">
        <f>MIN(T38,V38)</f>
        <v>22761</v>
      </c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17" t="s">
        <v>43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6" width="9.140625" customWidth="1"/>
    <col min="25" max="27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O2" s="31" t="s">
        <v>24</v>
      </c>
      <c r="P2" s="11"/>
      <c r="Q2" s="11"/>
      <c r="R2" s="11"/>
      <c r="S2" s="11"/>
      <c r="T2" s="32" t="str">
        <f>IF(R9&gt;=1.5,"is met","is not met")</f>
        <v>is not met</v>
      </c>
      <c r="U2" s="33" t="s">
        <v>25</v>
      </c>
      <c r="V2" s="34"/>
      <c r="W2" s="35">
        <f>R9</f>
        <v>1.247112397693467</v>
      </c>
      <c r="AB2" s="14" t="s">
        <v>8</v>
      </c>
    </row>
    <row r="3" spans="1:29" ht="15" customHeight="1" x14ac:dyDescent="0.25">
      <c r="A3" s="4" t="s">
        <v>5</v>
      </c>
      <c r="C3" t="s">
        <v>26</v>
      </c>
      <c r="N3" s="14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8</v>
      </c>
      <c r="O4" s="36" t="s">
        <v>27</v>
      </c>
      <c r="P4" t="s">
        <v>28</v>
      </c>
      <c r="Q4" s="37"/>
      <c r="R4" s="38"/>
      <c r="S4" s="39"/>
      <c r="T4" s="39"/>
      <c r="AB4" s="6" t="s">
        <v>8</v>
      </c>
      <c r="AC4" s="5"/>
    </row>
    <row r="5" spans="1:29" ht="15" customHeight="1" x14ac:dyDescent="0.25">
      <c r="A5" s="12" t="s">
        <v>9</v>
      </c>
      <c r="C5" t="s">
        <v>19</v>
      </c>
      <c r="D5" t="s">
        <v>29</v>
      </c>
      <c r="E5" s="5"/>
      <c r="F5" s="5"/>
      <c r="G5" s="5"/>
      <c r="H5" s="5"/>
      <c r="I5" s="5"/>
      <c r="J5" s="5"/>
      <c r="K5" s="5"/>
      <c r="L5" s="5"/>
      <c r="M5" s="5"/>
      <c r="N5" s="14" t="s">
        <v>8</v>
      </c>
      <c r="O5" s="5"/>
      <c r="P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20</v>
      </c>
      <c r="D6" s="5" t="s">
        <v>30</v>
      </c>
      <c r="E6" s="5"/>
      <c r="F6" s="5"/>
      <c r="G6" s="5"/>
      <c r="H6" s="5"/>
      <c r="I6" s="5"/>
      <c r="J6" s="5"/>
      <c r="K6" s="5"/>
      <c r="L6" s="5"/>
      <c r="M6" s="5"/>
      <c r="N6" s="14" t="s">
        <v>8</v>
      </c>
      <c r="O6" s="5"/>
      <c r="P6" s="37" t="s">
        <v>31</v>
      </c>
      <c r="Q6" s="38" t="s">
        <v>10</v>
      </c>
      <c r="R6" s="38" t="s">
        <v>32</v>
      </c>
      <c r="S6" s="40" t="s">
        <v>33</v>
      </c>
      <c r="T6" t="s">
        <v>34</v>
      </c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N7" s="14" t="s">
        <v>8</v>
      </c>
      <c r="O7" s="5"/>
      <c r="P7" s="5"/>
      <c r="Q7" s="38" t="s">
        <v>10</v>
      </c>
      <c r="R7" s="41">
        <f>Z14</f>
        <v>47390</v>
      </c>
      <c r="S7" s="40" t="s">
        <v>33</v>
      </c>
      <c r="T7" s="42" t="s">
        <v>35</v>
      </c>
      <c r="U7" s="43" t="s">
        <v>36</v>
      </c>
      <c r="V7" s="44" t="s">
        <v>33</v>
      </c>
      <c r="W7" s="45">
        <v>1.5</v>
      </c>
      <c r="X7" s="5" t="s">
        <v>37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 t="s">
        <v>6</v>
      </c>
      <c r="B8" s="5"/>
      <c r="C8" s="12" t="s">
        <v>38</v>
      </c>
      <c r="D8" s="5"/>
      <c r="E8" s="5"/>
      <c r="F8" s="5"/>
      <c r="G8" s="5"/>
      <c r="H8" s="5"/>
      <c r="I8" s="5"/>
      <c r="J8" s="5"/>
      <c r="K8" s="5"/>
      <c r="L8" s="5"/>
      <c r="M8" s="5"/>
      <c r="N8" s="14" t="s">
        <v>8</v>
      </c>
      <c r="O8" s="5"/>
      <c r="P8" s="5"/>
      <c r="Q8" s="38" t="s">
        <v>10</v>
      </c>
      <c r="R8" s="6">
        <f>R7</f>
        <v>47390</v>
      </c>
      <c r="S8" s="40" t="s">
        <v>33</v>
      </c>
      <c r="T8" s="42" t="s">
        <v>35</v>
      </c>
      <c r="U8" s="6">
        <f>R25</f>
        <v>56999.673911887679</v>
      </c>
      <c r="V8" s="44" t="s">
        <v>33</v>
      </c>
      <c r="W8" s="45">
        <v>1.5</v>
      </c>
      <c r="X8" s="5" t="s">
        <v>37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15" t="s">
        <v>39</v>
      </c>
      <c r="D9" s="16"/>
      <c r="E9" s="46"/>
      <c r="F9" s="47">
        <v>51900</v>
      </c>
      <c r="G9" s="5"/>
      <c r="H9" s="5"/>
      <c r="I9" s="5"/>
      <c r="J9" s="5"/>
      <c r="K9" s="5"/>
      <c r="L9" s="5"/>
      <c r="M9" s="5"/>
      <c r="N9" s="14" t="s">
        <v>8</v>
      </c>
      <c r="O9" s="5"/>
      <c r="P9" s="5"/>
      <c r="Q9" s="38" t="s">
        <v>10</v>
      </c>
      <c r="R9" s="48">
        <f>R8/(U8/1.5)</f>
        <v>1.247112397693467</v>
      </c>
      <c r="S9" s="49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40</v>
      </c>
      <c r="D10" s="5"/>
      <c r="E10" s="50"/>
      <c r="F10" s="23">
        <v>4000</v>
      </c>
      <c r="G10" s="44" t="s">
        <v>41</v>
      </c>
      <c r="H10" s="5" t="s">
        <v>42</v>
      </c>
      <c r="I10" s="5"/>
      <c r="J10" s="5"/>
      <c r="K10" s="5"/>
      <c r="L10" s="5"/>
      <c r="M10" s="5"/>
      <c r="N10" s="14" t="s">
        <v>8</v>
      </c>
      <c r="O10" s="5"/>
      <c r="P10" s="5"/>
      <c r="Q10" s="5"/>
      <c r="R10" s="17" t="s">
        <v>43</v>
      </c>
      <c r="S10" s="5"/>
      <c r="T10" s="5"/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</v>
      </c>
      <c r="D11" s="5"/>
      <c r="E11" s="50"/>
      <c r="F11" s="23">
        <v>520</v>
      </c>
      <c r="G11" s="44" t="s">
        <v>41</v>
      </c>
      <c r="H11" s="5" t="s">
        <v>45</v>
      </c>
      <c r="I11" s="5"/>
      <c r="J11" s="5"/>
      <c r="K11" s="5"/>
      <c r="L11" s="5"/>
      <c r="M11" s="5"/>
      <c r="N11" s="14" t="s">
        <v>8</v>
      </c>
      <c r="AB11" s="6" t="s">
        <v>8</v>
      </c>
      <c r="AC11" s="5"/>
    </row>
    <row r="12" spans="1:29" ht="15" customHeight="1" x14ac:dyDescent="0.25">
      <c r="A12" s="12"/>
      <c r="B12" s="5"/>
      <c r="C12" s="20" t="s">
        <v>46</v>
      </c>
      <c r="D12" s="5"/>
      <c r="E12" s="50"/>
      <c r="F12" s="23">
        <v>20</v>
      </c>
      <c r="G12" s="5"/>
      <c r="H12" s="5"/>
      <c r="I12" s="5"/>
      <c r="J12" s="5"/>
      <c r="K12" s="5"/>
      <c r="L12" s="5"/>
      <c r="M12" s="5"/>
      <c r="N12" s="14" t="s">
        <v>8</v>
      </c>
      <c r="O12" s="51" t="s">
        <v>47</v>
      </c>
      <c r="P12" s="5" t="s">
        <v>48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49</v>
      </c>
      <c r="D13" s="22"/>
      <c r="E13" s="25"/>
      <c r="F13" s="24">
        <v>30</v>
      </c>
      <c r="G13" s="5"/>
      <c r="H13" s="5"/>
      <c r="I13" s="5"/>
      <c r="J13" s="5"/>
      <c r="K13" s="5"/>
      <c r="L13" s="5"/>
      <c r="M13" s="5"/>
      <c r="N13" s="14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4" t="s">
        <v>8</v>
      </c>
      <c r="O14" s="5"/>
      <c r="P14" s="5" t="s">
        <v>32</v>
      </c>
      <c r="Q14" s="52" t="s">
        <v>10</v>
      </c>
      <c r="R14" s="19" t="s">
        <v>39</v>
      </c>
      <c r="S14" s="19"/>
      <c r="T14" s="53"/>
      <c r="V14" s="52" t="s">
        <v>10</v>
      </c>
      <c r="W14" s="53">
        <f>F9</f>
        <v>51900</v>
      </c>
      <c r="X14" s="5"/>
      <c r="Y14" s="52" t="s">
        <v>10</v>
      </c>
      <c r="Z14" s="54">
        <f>W14-W15-W16-W17+W18</f>
        <v>47390</v>
      </c>
      <c r="AA14" s="5"/>
      <c r="AB14" s="6" t="s">
        <v>8</v>
      </c>
      <c r="AC14" s="5"/>
    </row>
    <row r="15" spans="1:29" ht="15" customHeight="1" x14ac:dyDescent="0.25">
      <c r="C15" s="12" t="s">
        <v>50</v>
      </c>
      <c r="D15" s="5"/>
      <c r="E15" s="5"/>
      <c r="F15" s="5"/>
      <c r="G15" s="5"/>
      <c r="H15" s="22" t="s">
        <v>51</v>
      </c>
      <c r="I15" s="5"/>
      <c r="J15" s="5"/>
      <c r="K15" s="5"/>
      <c r="L15" s="5"/>
      <c r="M15" s="5"/>
      <c r="N15" s="14" t="s">
        <v>8</v>
      </c>
      <c r="O15" s="5"/>
      <c r="P15" s="5"/>
      <c r="Q15" s="55" t="s">
        <v>52</v>
      </c>
      <c r="R15" s="5" t="s">
        <v>40</v>
      </c>
      <c r="S15" s="5"/>
      <c r="T15" s="50"/>
      <c r="V15" s="55" t="s">
        <v>52</v>
      </c>
      <c r="W15" s="50">
        <f>F10</f>
        <v>4000</v>
      </c>
      <c r="X15" s="5"/>
      <c r="Y15" s="21"/>
      <c r="Z15" s="56"/>
      <c r="AA15" s="5"/>
      <c r="AB15" s="6" t="s">
        <v>8</v>
      </c>
      <c r="AC15" s="5"/>
    </row>
    <row r="16" spans="1:29" ht="15" customHeight="1" x14ac:dyDescent="0.25">
      <c r="C16" s="18" t="s">
        <v>53</v>
      </c>
      <c r="D16" s="19"/>
      <c r="E16" s="53"/>
      <c r="F16" s="57">
        <v>36400</v>
      </c>
      <c r="G16" s="44" t="s">
        <v>41</v>
      </c>
      <c r="H16" s="6" t="s">
        <v>54</v>
      </c>
      <c r="I16" s="5"/>
      <c r="J16" s="5"/>
      <c r="K16" s="5"/>
      <c r="L16" s="5"/>
      <c r="M16" s="5"/>
      <c r="N16" s="14" t="s">
        <v>8</v>
      </c>
      <c r="O16" s="5"/>
      <c r="P16" s="5"/>
      <c r="Q16" s="55" t="s">
        <v>52</v>
      </c>
      <c r="R16" s="5" t="s">
        <v>44</v>
      </c>
      <c r="S16" s="5"/>
      <c r="T16" s="50"/>
      <c r="V16" s="55" t="s">
        <v>52</v>
      </c>
      <c r="W16" s="50">
        <f>F11</f>
        <v>520</v>
      </c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55</v>
      </c>
      <c r="D17" s="5"/>
      <c r="E17" s="50"/>
      <c r="F17" s="23">
        <v>11300</v>
      </c>
      <c r="G17" s="44" t="s">
        <v>41</v>
      </c>
      <c r="H17" s="6" t="s">
        <v>56</v>
      </c>
      <c r="I17" s="5"/>
      <c r="J17" s="5"/>
      <c r="K17" s="5"/>
      <c r="L17" s="5"/>
      <c r="M17" s="5"/>
      <c r="N17" s="14" t="s">
        <v>8</v>
      </c>
      <c r="O17" s="5"/>
      <c r="P17" s="5"/>
      <c r="Q17" s="55" t="s">
        <v>52</v>
      </c>
      <c r="R17" s="5" t="s">
        <v>46</v>
      </c>
      <c r="S17" s="5"/>
      <c r="T17" s="50"/>
      <c r="V17" s="55" t="s">
        <v>52</v>
      </c>
      <c r="W17" s="50">
        <f>F12</f>
        <v>20</v>
      </c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0" t="s">
        <v>57</v>
      </c>
      <c r="D18" s="5"/>
      <c r="E18" s="50"/>
      <c r="F18" s="23">
        <v>4000</v>
      </c>
      <c r="G18" s="44" t="s">
        <v>41</v>
      </c>
      <c r="H18" s="6" t="s">
        <v>58</v>
      </c>
      <c r="I18" s="5"/>
      <c r="J18" s="5"/>
      <c r="K18" s="5"/>
      <c r="L18" s="5"/>
      <c r="M18" s="5"/>
      <c r="N18" s="14" t="s">
        <v>8</v>
      </c>
      <c r="Q18" s="58" t="s">
        <v>59</v>
      </c>
      <c r="R18" s="22" t="s">
        <v>49</v>
      </c>
      <c r="S18" s="59"/>
      <c r="T18" s="25"/>
      <c r="V18" s="58" t="s">
        <v>59</v>
      </c>
      <c r="W18" s="25">
        <f>F13</f>
        <v>30</v>
      </c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60</v>
      </c>
      <c r="D19" s="22"/>
      <c r="E19" s="25"/>
      <c r="F19" s="24">
        <v>11000</v>
      </c>
      <c r="G19" s="44" t="s">
        <v>41</v>
      </c>
      <c r="H19" s="6" t="s">
        <v>61</v>
      </c>
      <c r="I19" s="5"/>
      <c r="J19" s="5"/>
      <c r="K19" s="5"/>
      <c r="L19" s="5"/>
      <c r="M19" s="5"/>
      <c r="N19" s="14" t="s">
        <v>8</v>
      </c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4" t="s">
        <v>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5" t="s">
        <v>62</v>
      </c>
      <c r="D21" s="16"/>
      <c r="E21" s="46"/>
      <c r="F21" s="60">
        <v>0.5</v>
      </c>
      <c r="G21" s="44" t="s">
        <v>41</v>
      </c>
      <c r="H21" s="6" t="s">
        <v>63</v>
      </c>
      <c r="I21" s="5" t="s">
        <v>64</v>
      </c>
      <c r="J21" s="5"/>
      <c r="K21" s="5"/>
      <c r="L21" s="5"/>
      <c r="M21" s="5"/>
      <c r="N21" s="14" t="s">
        <v>8</v>
      </c>
      <c r="O21" s="43" t="s">
        <v>47</v>
      </c>
      <c r="P21" s="5" t="s">
        <v>65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4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12"/>
      <c r="I23" s="5"/>
      <c r="J23" s="5"/>
      <c r="K23" s="5"/>
      <c r="L23" s="5"/>
      <c r="M23" s="5"/>
      <c r="N23" s="14" t="s">
        <v>8</v>
      </c>
      <c r="O23" s="5"/>
      <c r="P23" s="61" t="s">
        <v>36</v>
      </c>
      <c r="Q23" s="38" t="s">
        <v>10</v>
      </c>
      <c r="R23" s="5" t="s">
        <v>66</v>
      </c>
      <c r="S23" s="5"/>
      <c r="T23" s="6" t="s">
        <v>11</v>
      </c>
      <c r="U23" s="62" t="s">
        <v>67</v>
      </c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  <c r="O24" s="5"/>
      <c r="P24" s="5"/>
      <c r="Q24" s="38" t="s">
        <v>10</v>
      </c>
      <c r="R24" s="5">
        <f>SUM(F16:F19)</f>
        <v>62700</v>
      </c>
      <c r="S24" s="5"/>
      <c r="T24" s="6" t="s">
        <v>11</v>
      </c>
      <c r="U24" s="17">
        <f>R32</f>
        <v>5700.3260881123206</v>
      </c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4" t="s">
        <v>8</v>
      </c>
      <c r="O25" s="5"/>
      <c r="P25" s="5"/>
      <c r="Q25" s="38" t="s">
        <v>10</v>
      </c>
      <c r="R25" s="63">
        <f>R24-U24</f>
        <v>56999.673911887679</v>
      </c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4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4" t="s">
        <v>8</v>
      </c>
      <c r="O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4" t="s">
        <v>8</v>
      </c>
      <c r="O28" s="5"/>
      <c r="P28" s="64" t="s">
        <v>68</v>
      </c>
      <c r="Q28" s="16"/>
      <c r="R28" s="16"/>
      <c r="S28" s="46"/>
      <c r="T28" s="65" t="s">
        <v>69</v>
      </c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4" t="s">
        <v>8</v>
      </c>
      <c r="O29" s="5"/>
      <c r="P29" s="5"/>
      <c r="Q29" s="5"/>
      <c r="R29" s="5"/>
      <c r="S29" s="6"/>
      <c r="U29" s="38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4" t="s">
        <v>8</v>
      </c>
      <c r="O30" s="5"/>
      <c r="P30" s="66" t="s">
        <v>67</v>
      </c>
      <c r="Q30" s="6" t="s">
        <v>10</v>
      </c>
      <c r="R30" s="67" t="s">
        <v>70</v>
      </c>
      <c r="S30" s="38" t="s">
        <v>11</v>
      </c>
      <c r="T30" t="s">
        <v>71</v>
      </c>
      <c r="U30" s="38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4" t="s">
        <v>8</v>
      </c>
      <c r="O31" s="5"/>
      <c r="P31" s="5"/>
      <c r="Q31" s="6" t="s">
        <v>10</v>
      </c>
      <c r="R31" s="5">
        <f>S42</f>
        <v>51700</v>
      </c>
      <c r="S31" s="38" t="s">
        <v>11</v>
      </c>
      <c r="T31" s="5">
        <f>S45^0.5</f>
        <v>45999.673911887679</v>
      </c>
      <c r="U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4" t="s">
        <v>8</v>
      </c>
      <c r="O32" s="5"/>
      <c r="P32" s="5"/>
      <c r="Q32" s="6" t="s">
        <v>10</v>
      </c>
      <c r="R32" s="17">
        <f>R31-T31</f>
        <v>5700.3260881123206</v>
      </c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4" t="s">
        <v>8</v>
      </c>
      <c r="O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4" t="s">
        <v>8</v>
      </c>
      <c r="O34" s="5"/>
      <c r="P34" s="68" t="s">
        <v>72</v>
      </c>
      <c r="Q34" s="69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4" t="s">
        <v>8</v>
      </c>
      <c r="O35" s="5"/>
      <c r="P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4" t="s">
        <v>8</v>
      </c>
      <c r="O36" s="5"/>
      <c r="P36" s="37" t="s">
        <v>73</v>
      </c>
      <c r="Q36" s="6" t="s">
        <v>74</v>
      </c>
      <c r="R36" s="6" t="s">
        <v>10</v>
      </c>
      <c r="S36" s="70" t="s">
        <v>75</v>
      </c>
      <c r="T36" s="6" t="s">
        <v>10</v>
      </c>
      <c r="U36" s="5" t="s">
        <v>55</v>
      </c>
      <c r="V36" s="5"/>
      <c r="W36" s="6" t="s">
        <v>18</v>
      </c>
      <c r="X36" s="5" t="s">
        <v>57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4" t="s">
        <v>8</v>
      </c>
      <c r="O37" s="5"/>
      <c r="P37" s="61"/>
      <c r="Q37" s="5"/>
      <c r="R37" s="5"/>
      <c r="S37" s="5"/>
      <c r="T37" s="6" t="s">
        <v>10</v>
      </c>
      <c r="U37" s="5">
        <f>F17</f>
        <v>11300</v>
      </c>
      <c r="V37" s="5"/>
      <c r="W37" s="6" t="s">
        <v>18</v>
      </c>
      <c r="X37" s="5">
        <f>F18</f>
        <v>4000</v>
      </c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4" t="s">
        <v>8</v>
      </c>
      <c r="O38" s="5"/>
      <c r="P38" s="61"/>
      <c r="Q38" s="6"/>
      <c r="R38" s="6"/>
      <c r="S38" s="5"/>
      <c r="T38" s="6" t="s">
        <v>10</v>
      </c>
      <c r="U38" s="70">
        <f>U37+X37</f>
        <v>15300</v>
      </c>
      <c r="V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4" t="s">
        <v>8</v>
      </c>
      <c r="O39" s="5"/>
      <c r="P39" s="61"/>
      <c r="Q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14" t="s">
        <v>8</v>
      </c>
      <c r="O40" s="5"/>
      <c r="P40" s="71" t="s">
        <v>76</v>
      </c>
      <c r="Q40" s="72" t="s">
        <v>70</v>
      </c>
      <c r="R40" s="6" t="s">
        <v>10</v>
      </c>
      <c r="S40" s="6" t="s">
        <v>74</v>
      </c>
      <c r="T40" s="6" t="s">
        <v>18</v>
      </c>
      <c r="U40" s="6" t="s">
        <v>54</v>
      </c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14" t="s">
        <v>8</v>
      </c>
      <c r="O41" s="5"/>
      <c r="P41" s="5"/>
      <c r="Q41" s="5"/>
      <c r="R41" s="6" t="s">
        <v>10</v>
      </c>
      <c r="S41" s="5">
        <f>U38</f>
        <v>15300</v>
      </c>
      <c r="T41" s="6" t="s">
        <v>18</v>
      </c>
      <c r="U41" s="5">
        <f>F16</f>
        <v>36400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14" t="s">
        <v>8</v>
      </c>
      <c r="O42" s="5"/>
      <c r="P42" s="5"/>
      <c r="R42" s="6" t="s">
        <v>10</v>
      </c>
      <c r="S42" s="30">
        <f>S41+U41</f>
        <v>51700</v>
      </c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14" t="s">
        <v>8</v>
      </c>
      <c r="O43" s="5"/>
      <c r="P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14" t="s">
        <v>8</v>
      </c>
      <c r="O44" s="5"/>
      <c r="P44" s="71" t="s">
        <v>77</v>
      </c>
      <c r="Q44" s="73" t="s">
        <v>78</v>
      </c>
      <c r="R44" s="6" t="s">
        <v>10</v>
      </c>
      <c r="S44" s="14" t="s">
        <v>79</v>
      </c>
      <c r="T44" s="14" t="s">
        <v>18</v>
      </c>
      <c r="U44" s="14" t="s">
        <v>80</v>
      </c>
      <c r="V44" s="14" t="s">
        <v>18</v>
      </c>
      <c r="W44" s="14" t="s">
        <v>81</v>
      </c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14" t="s">
        <v>8</v>
      </c>
      <c r="O45" s="5"/>
      <c r="P45" s="5"/>
      <c r="R45" s="6" t="s">
        <v>10</v>
      </c>
      <c r="S45" s="244">
        <f>U38^2 + U41^2 + 2*F21*U38*U41</f>
        <v>2115970000</v>
      </c>
      <c r="T45" s="24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14" t="s">
        <v>8</v>
      </c>
      <c r="O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14" t="s">
        <v>8</v>
      </c>
      <c r="O47" s="5"/>
      <c r="P47" s="5"/>
      <c r="Q47" s="74" t="s">
        <v>82</v>
      </c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14" t="s">
        <v>8</v>
      </c>
      <c r="O48" s="5"/>
      <c r="Z48" s="5"/>
      <c r="AA48" s="5"/>
      <c r="AB48" s="6" t="s">
        <v>8</v>
      </c>
      <c r="AC48" s="5"/>
    </row>
    <row r="49" spans="14:29" ht="15" customHeight="1" x14ac:dyDescent="0.25">
      <c r="N49" s="14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14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14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14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14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14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14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14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5" width="9.140625" customWidth="1"/>
    <col min="20" max="20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334</v>
      </c>
      <c r="N3" s="14" t="s">
        <v>8</v>
      </c>
      <c r="O3" s="36" t="s">
        <v>83</v>
      </c>
      <c r="P3" t="s">
        <v>84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6</v>
      </c>
      <c r="C5" s="5" t="s">
        <v>85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Q5" s="5"/>
      <c r="R5" s="5"/>
      <c r="S5" s="5"/>
      <c r="T5" s="5"/>
      <c r="U5" s="76" t="s">
        <v>86</v>
      </c>
      <c r="V5" s="76" t="s">
        <v>87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88</v>
      </c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 t="str">
        <f>E10</f>
        <v>Residual Interest (Non-Stock)</v>
      </c>
      <c r="Q6" s="5"/>
      <c r="R6" s="5"/>
      <c r="S6" s="5"/>
      <c r="T6" s="5"/>
      <c r="U6" s="5">
        <f>J10</f>
        <v>120</v>
      </c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5" t="str">
        <f t="shared" ref="P7:P13" si="0">E17</f>
        <v>Common Shares</v>
      </c>
      <c r="Q7" s="5"/>
      <c r="R7" s="5"/>
      <c r="S7" s="5"/>
      <c r="T7" s="5"/>
      <c r="U7" s="5">
        <f>J17</f>
        <v>9700</v>
      </c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77" t="s">
        <v>89</v>
      </c>
      <c r="D8" s="5"/>
      <c r="E8" s="5"/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 t="str">
        <f t="shared" si="0"/>
        <v>Preferred Shares</v>
      </c>
      <c r="Q8" s="5"/>
      <c r="R8" s="5"/>
      <c r="S8" s="5"/>
      <c r="T8" s="5"/>
      <c r="U8" s="5"/>
      <c r="V8" s="5">
        <f>J18</f>
        <v>240</v>
      </c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78" t="s">
        <v>90</v>
      </c>
      <c r="D9" s="79" t="s">
        <v>91</v>
      </c>
      <c r="E9" s="16"/>
      <c r="F9" s="16"/>
      <c r="G9" s="16"/>
      <c r="H9" s="16"/>
      <c r="I9" s="16"/>
      <c r="J9" s="80"/>
      <c r="K9" s="5"/>
      <c r="L9" s="5"/>
      <c r="M9" s="5"/>
      <c r="N9" s="6" t="s">
        <v>8</v>
      </c>
      <c r="O9" s="5"/>
      <c r="P9" s="5" t="str">
        <f t="shared" si="0"/>
        <v>Contributed Surplus</v>
      </c>
      <c r="Q9" s="5"/>
      <c r="R9" s="5"/>
      <c r="S9" s="5"/>
      <c r="T9" s="5"/>
      <c r="U9" s="5">
        <f>J19</f>
        <v>500</v>
      </c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81" t="s">
        <v>92</v>
      </c>
      <c r="D10" s="5"/>
      <c r="E10" s="5" t="s">
        <v>93</v>
      </c>
      <c r="F10" s="5"/>
      <c r="G10" s="5"/>
      <c r="H10" s="5"/>
      <c r="I10" s="5"/>
      <c r="J10" s="82">
        <v>120</v>
      </c>
      <c r="K10" s="5"/>
      <c r="L10" s="5"/>
      <c r="M10" s="5"/>
      <c r="N10" s="6" t="s">
        <v>8</v>
      </c>
      <c r="O10" s="5"/>
      <c r="P10" s="5" t="str">
        <f t="shared" si="0"/>
        <v xml:space="preserve">Other Capital </v>
      </c>
      <c r="Q10" s="5"/>
      <c r="R10" s="5"/>
      <c r="S10" s="5"/>
      <c r="T10" s="5"/>
      <c r="U10" s="5">
        <f>J20</f>
        <v>230</v>
      </c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81" t="s">
        <v>94</v>
      </c>
      <c r="D11" s="5"/>
      <c r="E11" s="5" t="s">
        <v>95</v>
      </c>
      <c r="F11" s="5"/>
      <c r="G11" s="5"/>
      <c r="H11" s="5"/>
      <c r="I11" s="5"/>
      <c r="J11" s="82">
        <v>17</v>
      </c>
      <c r="K11" s="5"/>
      <c r="L11" s="5"/>
      <c r="M11" s="5"/>
      <c r="N11" s="6" t="s">
        <v>8</v>
      </c>
      <c r="O11" s="5"/>
      <c r="P11" s="5" t="str">
        <f t="shared" si="0"/>
        <v>Retained Earnings</v>
      </c>
      <c r="Q11" s="5"/>
      <c r="R11" s="5"/>
      <c r="S11" s="5"/>
      <c r="T11" s="5"/>
      <c r="U11" s="5">
        <f>J21</f>
        <v>2000</v>
      </c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81" t="s">
        <v>96</v>
      </c>
      <c r="D12" s="5"/>
      <c r="E12" s="5" t="s">
        <v>97</v>
      </c>
      <c r="F12" s="5"/>
      <c r="G12" s="5"/>
      <c r="H12" s="5"/>
      <c r="I12" s="5"/>
      <c r="J12" s="82">
        <v>20</v>
      </c>
      <c r="K12" s="5"/>
      <c r="L12" s="5"/>
      <c r="M12" s="5"/>
      <c r="N12" s="6" t="s">
        <v>8</v>
      </c>
      <c r="O12" s="5"/>
      <c r="P12" s="5" t="str">
        <f t="shared" si="0"/>
        <v>Nuclear and Other Reserves</v>
      </c>
      <c r="Q12" s="5"/>
      <c r="R12" s="5"/>
      <c r="S12" s="5"/>
      <c r="T12" s="5"/>
      <c r="U12" s="5">
        <f>J22</f>
        <v>800</v>
      </c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81" t="s">
        <v>98</v>
      </c>
      <c r="D13" s="5"/>
      <c r="E13" s="5" t="s">
        <v>99</v>
      </c>
      <c r="F13" s="5"/>
      <c r="G13" s="5"/>
      <c r="H13" s="5"/>
      <c r="I13" s="5"/>
      <c r="J13" s="82">
        <v>18</v>
      </c>
      <c r="K13" s="5"/>
      <c r="L13" s="5"/>
      <c r="M13" s="5"/>
      <c r="N13" s="6" t="s">
        <v>8</v>
      </c>
      <c r="O13" s="5"/>
      <c r="P13" s="5" t="str">
        <f t="shared" si="0"/>
        <v>Accumulated Other Comprehensive Income (Loss)</v>
      </c>
      <c r="Q13" s="5"/>
      <c r="R13" s="5"/>
      <c r="S13" s="5"/>
      <c r="T13" s="5"/>
      <c r="U13" s="5">
        <f>J23</f>
        <v>2910</v>
      </c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83" t="s">
        <v>100</v>
      </c>
      <c r="D14" s="22"/>
      <c r="E14" s="22" t="s">
        <v>101</v>
      </c>
      <c r="F14" s="22"/>
      <c r="G14" s="22"/>
      <c r="H14" s="22"/>
      <c r="I14" s="22"/>
      <c r="J14" s="84">
        <v>20</v>
      </c>
      <c r="K14" s="5"/>
      <c r="L14" s="5"/>
      <c r="M14" s="5"/>
      <c r="N14" s="6" t="s">
        <v>8</v>
      </c>
      <c r="O14" s="5"/>
      <c r="P14" s="5" t="str">
        <f>D25</f>
        <v>Non-controlling Interests</v>
      </c>
      <c r="Q14" s="5"/>
      <c r="R14" s="5"/>
      <c r="S14" s="5"/>
      <c r="T14" s="5"/>
      <c r="U14" s="5">
        <f>IF(J28="met",J25,"")</f>
        <v>25</v>
      </c>
      <c r="V14" s="5" t="str">
        <f>IF(J28="not met",J25,"")</f>
        <v/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83" t="s">
        <v>102</v>
      </c>
      <c r="D15" s="85" t="s">
        <v>103</v>
      </c>
      <c r="E15" s="22"/>
      <c r="F15" s="22"/>
      <c r="G15" s="22"/>
      <c r="H15" s="22"/>
      <c r="I15" s="22"/>
      <c r="J15" s="84">
        <v>195</v>
      </c>
      <c r="K15" s="5"/>
      <c r="L15" s="5"/>
      <c r="M15" s="5"/>
      <c r="N15" s="6" t="s">
        <v>8</v>
      </c>
      <c r="O15" s="5"/>
      <c r="P15" s="5" t="str">
        <f>C31</f>
        <v>Category B capital</v>
      </c>
      <c r="U15" s="5">
        <f>J31</f>
        <v>6310</v>
      </c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78"/>
      <c r="D16" s="79" t="s">
        <v>104</v>
      </c>
      <c r="E16" s="16"/>
      <c r="F16" s="16"/>
      <c r="G16" s="16"/>
      <c r="H16" s="16"/>
      <c r="I16" s="16"/>
      <c r="J16" s="86"/>
      <c r="K16" s="5"/>
      <c r="L16" s="5"/>
      <c r="M16" s="5"/>
      <c r="N16" s="6" t="s">
        <v>8</v>
      </c>
      <c r="O16" s="5"/>
      <c r="P16" s="5" t="str">
        <f>C32</f>
        <v>Category C capital</v>
      </c>
      <c r="Q16" s="5"/>
      <c r="R16" s="5"/>
      <c r="S16" s="5"/>
      <c r="T16" s="5"/>
      <c r="U16" s="5">
        <f>J32</f>
        <v>1460</v>
      </c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81" t="s">
        <v>105</v>
      </c>
      <c r="D17" s="5"/>
      <c r="E17" s="5" t="s">
        <v>106</v>
      </c>
      <c r="F17" s="5"/>
      <c r="G17" s="5"/>
      <c r="H17" s="5"/>
      <c r="I17" s="5"/>
      <c r="J17" s="82">
        <v>9700</v>
      </c>
      <c r="K17" s="5"/>
      <c r="L17" s="5"/>
      <c r="M17" s="5"/>
      <c r="N17" s="6" t="s">
        <v>8</v>
      </c>
      <c r="O17" s="5"/>
      <c r="P17" s="19"/>
      <c r="Q17" s="19"/>
      <c r="R17" s="19"/>
      <c r="S17" s="19"/>
      <c r="T17" s="87" t="s">
        <v>107</v>
      </c>
      <c r="U17" s="88">
        <f>SUM(U6:U16)</f>
        <v>24055</v>
      </c>
      <c r="V17" s="19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81" t="s">
        <v>108</v>
      </c>
      <c r="D18" s="5"/>
      <c r="E18" s="5" t="s">
        <v>109</v>
      </c>
      <c r="F18" s="5"/>
      <c r="G18" s="5"/>
      <c r="H18" s="5"/>
      <c r="I18" s="5"/>
      <c r="J18" s="82">
        <v>240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83" t="s">
        <v>110</v>
      </c>
      <c r="D19" s="22"/>
      <c r="E19" s="22" t="s">
        <v>111</v>
      </c>
      <c r="F19" s="22"/>
      <c r="G19" s="22"/>
      <c r="H19" s="22"/>
      <c r="I19" s="22"/>
      <c r="J19" s="84">
        <v>500</v>
      </c>
      <c r="K19" s="5"/>
      <c r="L19" s="5"/>
      <c r="M19" s="5"/>
      <c r="N19" s="6" t="s">
        <v>8</v>
      </c>
      <c r="O19" s="41" t="s">
        <v>112</v>
      </c>
      <c r="P19" s="5" t="s">
        <v>113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81" t="s">
        <v>114</v>
      </c>
      <c r="D20" s="5"/>
      <c r="E20" s="5" t="s">
        <v>115</v>
      </c>
      <c r="F20" s="5"/>
      <c r="G20" s="5"/>
      <c r="H20" s="5"/>
      <c r="I20" s="5"/>
      <c r="J20" s="82">
        <v>230</v>
      </c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81" t="s">
        <v>116</v>
      </c>
      <c r="D21" s="5"/>
      <c r="E21" s="5" t="s">
        <v>117</v>
      </c>
      <c r="F21" s="5"/>
      <c r="G21" s="5"/>
      <c r="H21" s="5"/>
      <c r="I21" s="5"/>
      <c r="J21" s="82">
        <v>2000</v>
      </c>
      <c r="K21" s="5"/>
      <c r="L21" s="5"/>
      <c r="M21" s="5"/>
      <c r="N21" s="6" t="s">
        <v>8</v>
      </c>
      <c r="O21" s="5"/>
      <c r="P21" s="22" t="s">
        <v>118</v>
      </c>
      <c r="Q21" s="22"/>
      <c r="R21" s="22"/>
      <c r="S21" s="22"/>
      <c r="T21" s="22"/>
      <c r="U21" s="59"/>
      <c r="V21" s="89">
        <f>U17</f>
        <v>24055</v>
      </c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81" t="s">
        <v>119</v>
      </c>
      <c r="D22" s="5"/>
      <c r="E22" s="5" t="s">
        <v>120</v>
      </c>
      <c r="F22" s="5"/>
      <c r="G22" s="5"/>
      <c r="H22" s="5"/>
      <c r="I22" s="5"/>
      <c r="J22" s="82">
        <v>800</v>
      </c>
      <c r="K22" s="5"/>
      <c r="L22" s="5"/>
      <c r="M22" s="5"/>
      <c r="N22" s="6" t="s">
        <v>8</v>
      </c>
      <c r="O22" s="5"/>
      <c r="P22" s="5" t="str">
        <f>C33</f>
        <v>Contractual service margin (CSM) for title insurance contracts</v>
      </c>
      <c r="Q22" s="5"/>
      <c r="R22" s="5"/>
      <c r="S22" s="5"/>
      <c r="T22" s="5"/>
      <c r="U22" s="5"/>
      <c r="V22" s="5">
        <f>J33</f>
        <v>680</v>
      </c>
      <c r="W22" s="44" t="s">
        <v>41</v>
      </c>
      <c r="X22" s="90" t="s">
        <v>121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83" t="s">
        <v>122</v>
      </c>
      <c r="D23" s="22"/>
      <c r="E23" s="22" t="s">
        <v>123</v>
      </c>
      <c r="F23" s="22"/>
      <c r="G23" s="22"/>
      <c r="H23" s="22"/>
      <c r="I23" s="22"/>
      <c r="J23" s="84">
        <v>2910</v>
      </c>
      <c r="K23" s="5"/>
      <c r="L23" s="5"/>
      <c r="M23" s="5"/>
      <c r="N23" s="6" t="s">
        <v>8</v>
      </c>
      <c r="O23" s="5"/>
      <c r="P23" s="22" t="str">
        <f>C34</f>
        <v>Adjustments to owner-occupied property valuations</v>
      </c>
      <c r="Q23" s="22"/>
      <c r="R23" s="22"/>
      <c r="S23" s="22"/>
      <c r="T23" s="22"/>
      <c r="U23" s="22"/>
      <c r="V23" s="22">
        <f>J34</f>
        <v>-130</v>
      </c>
      <c r="W23" s="44" t="s">
        <v>41</v>
      </c>
      <c r="X23" s="90" t="s">
        <v>124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81" t="s">
        <v>125</v>
      </c>
      <c r="D24" s="12" t="s">
        <v>126</v>
      </c>
      <c r="E24" s="5"/>
      <c r="F24" s="5"/>
      <c r="G24" s="5"/>
      <c r="H24" s="5"/>
      <c r="I24" s="5"/>
      <c r="J24" s="82">
        <v>16380</v>
      </c>
      <c r="K24" s="5"/>
      <c r="L24" s="5"/>
      <c r="M24" s="5"/>
      <c r="N24" s="6" t="s">
        <v>8</v>
      </c>
      <c r="O24" s="5"/>
      <c r="P24" s="5" t="str">
        <f>C35</f>
        <v>* Deduction for unregistered reinsurance</v>
      </c>
      <c r="Q24" s="5"/>
      <c r="R24" s="5"/>
      <c r="S24" s="5"/>
      <c r="T24" s="5"/>
      <c r="U24" s="5"/>
      <c r="V24" s="5">
        <f>J35</f>
        <v>2020</v>
      </c>
      <c r="W24" s="44" t="s">
        <v>41</v>
      </c>
      <c r="X24" s="17" t="s">
        <v>127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8" t="s">
        <v>128</v>
      </c>
      <c r="D25" s="79" t="s">
        <v>129</v>
      </c>
      <c r="E25" s="16"/>
      <c r="F25" s="16"/>
      <c r="G25" s="16"/>
      <c r="H25" s="16"/>
      <c r="I25" s="16"/>
      <c r="J25" s="91">
        <v>25</v>
      </c>
      <c r="K25" s="5"/>
      <c r="L25" s="5"/>
      <c r="M25" s="5"/>
      <c r="N25" s="6" t="s">
        <v>8</v>
      </c>
      <c r="O25" s="5"/>
      <c r="P25" s="5" t="str">
        <f>C36</f>
        <v>Interest in non-qualifying subsidiary with more than 10% ownership</v>
      </c>
      <c r="Q25" s="5"/>
      <c r="R25" s="5"/>
      <c r="S25" s="5"/>
      <c r="T25" s="5"/>
      <c r="U25" s="5"/>
      <c r="V25" s="5">
        <f>J36</f>
        <v>780</v>
      </c>
      <c r="W25" s="44" t="s">
        <v>41</v>
      </c>
      <c r="X25" s="17" t="s">
        <v>127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83" t="s">
        <v>130</v>
      </c>
      <c r="D26" s="85" t="s">
        <v>131</v>
      </c>
      <c r="E26" s="22"/>
      <c r="F26" s="22"/>
      <c r="G26" s="22"/>
      <c r="H26" s="22"/>
      <c r="I26" s="22"/>
      <c r="J26" s="84">
        <v>16600</v>
      </c>
      <c r="K26" s="5"/>
      <c r="L26" s="5"/>
      <c r="M26" s="5"/>
      <c r="N26" s="6" t="s">
        <v>8</v>
      </c>
      <c r="O26" s="5"/>
      <c r="P26" s="5" t="str">
        <f>C37</f>
        <v>Deferred tax assets</v>
      </c>
      <c r="Q26" s="5"/>
      <c r="R26" s="5"/>
      <c r="S26" s="5"/>
      <c r="T26" s="5"/>
      <c r="U26" s="5"/>
      <c r="V26" s="5">
        <f>J37</f>
        <v>300</v>
      </c>
      <c r="W26" s="44" t="s">
        <v>41</v>
      </c>
      <c r="X26" s="17" t="s">
        <v>127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19"/>
      <c r="Q27" s="19"/>
      <c r="R27" s="19"/>
      <c r="S27" s="19"/>
      <c r="T27" s="19"/>
      <c r="U27" s="19"/>
      <c r="V27" s="92">
        <f>V21+SUM(V22:V23)-SUM(V24:V26)</f>
        <v>21505</v>
      </c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 t="s">
        <v>132</v>
      </c>
      <c r="D28" s="5"/>
      <c r="E28" s="5"/>
      <c r="F28" s="5"/>
      <c r="G28" s="5"/>
      <c r="H28" s="5"/>
      <c r="I28" s="5"/>
      <c r="J28" s="6" t="s">
        <v>133</v>
      </c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43" t="s">
        <v>134</v>
      </c>
      <c r="P29" s="5" t="s">
        <v>135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12" t="s">
        <v>136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18" t="s">
        <v>137</v>
      </c>
      <c r="D31" s="19"/>
      <c r="E31" s="19"/>
      <c r="F31" s="19"/>
      <c r="G31" s="19"/>
      <c r="H31" s="19"/>
      <c r="I31" s="53"/>
      <c r="J31" s="57">
        <v>6310</v>
      </c>
      <c r="K31" s="5"/>
      <c r="L31" s="5"/>
      <c r="M31" s="5"/>
      <c r="N31" s="6" t="s">
        <v>8</v>
      </c>
      <c r="O31" s="5"/>
      <c r="P31" s="61" t="s">
        <v>138</v>
      </c>
      <c r="Q31" s="6" t="s">
        <v>10</v>
      </c>
      <c r="R31" s="6">
        <f>J31</f>
        <v>6310</v>
      </c>
      <c r="S31" s="6" t="s">
        <v>18</v>
      </c>
      <c r="T31" s="6">
        <f>J32</f>
        <v>1460</v>
      </c>
      <c r="U31" s="6" t="s">
        <v>10</v>
      </c>
      <c r="V31" s="6">
        <f>R31+T31</f>
        <v>7770</v>
      </c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1" t="s">
        <v>139</v>
      </c>
      <c r="D32" s="22"/>
      <c r="E32" s="22"/>
      <c r="F32" s="22"/>
      <c r="G32" s="22"/>
      <c r="H32" s="22"/>
      <c r="I32" s="25"/>
      <c r="J32" s="24">
        <v>1460</v>
      </c>
      <c r="K32" s="5"/>
      <c r="L32" s="5"/>
      <c r="M32" s="5"/>
      <c r="N32" s="6" t="s">
        <v>8</v>
      </c>
      <c r="O32" s="5"/>
      <c r="P32" s="61" t="s">
        <v>58</v>
      </c>
      <c r="Q32" s="6" t="s">
        <v>10</v>
      </c>
      <c r="R32" s="6"/>
      <c r="S32" s="6"/>
      <c r="T32" s="6"/>
      <c r="U32" s="6" t="s">
        <v>10</v>
      </c>
      <c r="V32" s="6">
        <f>J32</f>
        <v>1460</v>
      </c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18" t="s">
        <v>140</v>
      </c>
      <c r="D33" s="19"/>
      <c r="E33" s="19"/>
      <c r="F33" s="19"/>
      <c r="G33" s="19"/>
      <c r="H33" s="19"/>
      <c r="I33" s="53"/>
      <c r="J33" s="57">
        <v>680</v>
      </c>
      <c r="K33" s="5"/>
      <c r="L33" s="5"/>
      <c r="M33" s="5"/>
      <c r="N33" s="6" t="s">
        <v>8</v>
      </c>
      <c r="O33" s="5"/>
      <c r="P33" s="6"/>
      <c r="Q33" s="6"/>
      <c r="R33" s="6"/>
      <c r="S33" s="6"/>
      <c r="T33" s="6"/>
      <c r="U33" s="6"/>
      <c r="V33" s="93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20" t="s">
        <v>141</v>
      </c>
      <c r="D34" s="5"/>
      <c r="E34" s="5"/>
      <c r="F34" s="5"/>
      <c r="G34" s="5"/>
      <c r="H34" s="5"/>
      <c r="I34" s="50"/>
      <c r="J34" s="23">
        <v>-130</v>
      </c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20" t="s">
        <v>142</v>
      </c>
      <c r="I35" s="94"/>
      <c r="J35" s="23">
        <v>2020</v>
      </c>
      <c r="K35" s="5"/>
      <c r="L35" s="5"/>
      <c r="M35" s="5"/>
      <c r="N35" s="6" t="s">
        <v>8</v>
      </c>
      <c r="O35" s="5"/>
      <c r="P35" s="61" t="s">
        <v>143</v>
      </c>
      <c r="Q35" s="6" t="s">
        <v>10</v>
      </c>
      <c r="R35" s="6" t="s">
        <v>35</v>
      </c>
      <c r="S35" s="41" t="s">
        <v>144</v>
      </c>
      <c r="T35" s="6" t="s">
        <v>11</v>
      </c>
      <c r="U35" s="6" t="s">
        <v>145</v>
      </c>
      <c r="V35" s="6" t="s">
        <v>37</v>
      </c>
      <c r="W35" s="6" t="s">
        <v>146</v>
      </c>
      <c r="X35" s="93">
        <v>0.4</v>
      </c>
      <c r="Y35" s="5"/>
      <c r="Z35" s="5"/>
      <c r="AA35" s="5"/>
      <c r="AB35" s="6" t="s">
        <v>8</v>
      </c>
      <c r="AC35" s="5"/>
    </row>
    <row r="36" spans="1:29" ht="15" customHeight="1" x14ac:dyDescent="0.25">
      <c r="C36" s="20" t="s">
        <v>147</v>
      </c>
      <c r="D36" s="5"/>
      <c r="E36" s="5"/>
      <c r="F36" s="5"/>
      <c r="G36" s="5"/>
      <c r="H36" s="5"/>
      <c r="I36" s="50"/>
      <c r="J36" s="23">
        <v>780</v>
      </c>
      <c r="K36" s="5"/>
      <c r="L36" s="5"/>
      <c r="M36" s="5"/>
      <c r="N36" s="6" t="s">
        <v>8</v>
      </c>
      <c r="O36" s="5"/>
      <c r="P36" s="5"/>
      <c r="Q36" s="6" t="s">
        <v>10</v>
      </c>
      <c r="R36" s="6" t="s">
        <v>35</v>
      </c>
      <c r="S36" s="41">
        <f>V27</f>
        <v>21505</v>
      </c>
      <c r="T36" s="6" t="s">
        <v>11</v>
      </c>
      <c r="U36" s="6">
        <f>J23</f>
        <v>2910</v>
      </c>
      <c r="V36" s="6" t="s">
        <v>37</v>
      </c>
      <c r="W36" s="6" t="s">
        <v>146</v>
      </c>
      <c r="X36" s="93">
        <v>0.4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21" t="s">
        <v>148</v>
      </c>
      <c r="D37" s="22"/>
      <c r="E37" s="22"/>
      <c r="F37" s="22"/>
      <c r="G37" s="22"/>
      <c r="H37" s="22"/>
      <c r="I37" s="25"/>
      <c r="J37" s="24">
        <v>300</v>
      </c>
      <c r="K37" s="5"/>
      <c r="L37" s="5"/>
      <c r="M37" s="5"/>
      <c r="N37" s="6" t="s">
        <v>8</v>
      </c>
      <c r="O37" s="5"/>
      <c r="P37" s="5"/>
      <c r="Q37" s="6" t="s">
        <v>10</v>
      </c>
      <c r="R37" s="95">
        <f>(S36-U36)*0.4</f>
        <v>7438</v>
      </c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 t="s">
        <v>149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 t="s">
        <v>150</v>
      </c>
      <c r="Q39" s="6" t="s">
        <v>10</v>
      </c>
      <c r="R39" s="6" t="s">
        <v>35</v>
      </c>
      <c r="S39" s="41" t="s">
        <v>144</v>
      </c>
      <c r="T39" s="6" t="s">
        <v>11</v>
      </c>
      <c r="U39" s="6" t="s">
        <v>145</v>
      </c>
      <c r="V39" s="6" t="s">
        <v>37</v>
      </c>
      <c r="W39" s="6" t="s">
        <v>146</v>
      </c>
      <c r="X39" s="93">
        <v>7.0000000000000007E-2</v>
      </c>
      <c r="Y39" s="5"/>
      <c r="Z39" s="5"/>
      <c r="AA39" s="5"/>
      <c r="AB39" s="6" t="s">
        <v>8</v>
      </c>
      <c r="AC39" s="5"/>
    </row>
    <row r="40" spans="1:29" ht="15" customHeight="1" x14ac:dyDescent="0.25">
      <c r="C40" s="74" t="s">
        <v>151</v>
      </c>
      <c r="N40" s="6" t="s">
        <v>8</v>
      </c>
      <c r="O40" s="5"/>
      <c r="P40" s="5"/>
      <c r="Q40" s="6" t="s">
        <v>10</v>
      </c>
      <c r="R40" s="6" t="s">
        <v>35</v>
      </c>
      <c r="S40" s="41">
        <f>V27</f>
        <v>21505</v>
      </c>
      <c r="T40" s="6" t="s">
        <v>11</v>
      </c>
      <c r="U40" s="6">
        <f>J23</f>
        <v>2910</v>
      </c>
      <c r="V40" s="6" t="s">
        <v>37</v>
      </c>
      <c r="W40" s="6" t="s">
        <v>146</v>
      </c>
      <c r="X40" s="93">
        <v>7.0000000000000007E-2</v>
      </c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6" t="s">
        <v>10</v>
      </c>
      <c r="R41" s="95">
        <f>(S40-U40)*X40</f>
        <v>1301.6500000000001</v>
      </c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 t="s">
        <v>152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28" t="s">
        <v>153</v>
      </c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25"/>
      <c r="Q45" s="96" t="s">
        <v>154</v>
      </c>
      <c r="R45" s="96" t="s">
        <v>155</v>
      </c>
      <c r="S45" s="97" t="s">
        <v>154</v>
      </c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98" t="s">
        <v>138</v>
      </c>
      <c r="Q46" s="5">
        <f>V31</f>
        <v>7770</v>
      </c>
      <c r="R46" s="5">
        <f>R37</f>
        <v>7438</v>
      </c>
      <c r="S46" s="27">
        <f>MAX(Q46-R46,0)</f>
        <v>332</v>
      </c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0" t="s">
        <v>58</v>
      </c>
      <c r="Q47" s="5">
        <f>V32</f>
        <v>1460</v>
      </c>
      <c r="R47" s="5">
        <f>R41</f>
        <v>1301.6500000000001</v>
      </c>
      <c r="S47" s="27">
        <f>MAX(Q47-R47,0)</f>
        <v>158.34999999999991</v>
      </c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3"/>
      <c r="Q48" s="19"/>
      <c r="R48" s="19"/>
      <c r="S48" s="99">
        <f>MAX(S46:S47)</f>
        <v>332</v>
      </c>
      <c r="T48" s="49" t="s">
        <v>41</v>
      </c>
      <c r="U48" s="17" t="s">
        <v>156</v>
      </c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15" t="s">
        <v>157</v>
      </c>
      <c r="Q50" s="16"/>
      <c r="R50" s="16"/>
      <c r="S50" s="46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6" t="s">
        <v>10</v>
      </c>
      <c r="Q52" s="41" t="s">
        <v>144</v>
      </c>
      <c r="R52" s="6" t="s">
        <v>11</v>
      </c>
      <c r="S52" s="5" t="s">
        <v>158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6" t="s">
        <v>10</v>
      </c>
      <c r="Q53" s="6">
        <f>V27</f>
        <v>21505</v>
      </c>
      <c r="R53" s="6" t="s">
        <v>11</v>
      </c>
      <c r="S53" s="62">
        <f>S48</f>
        <v>332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6" t="s">
        <v>10</v>
      </c>
      <c r="Q54" s="43">
        <f>Q53-S53</f>
        <v>21173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100" t="s">
        <v>159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tabSelected="1" zoomScale="90" zoomScaleNormal="90" workbookViewId="0">
      <selection activeCell="G19" sqref="G19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3" width="9.140625" customWidth="1"/>
    <col min="4" max="5" width="10.7109375" customWidth="1"/>
    <col min="6" max="8" width="11.7109375" customWidth="1"/>
    <col min="9" max="9" width="10.7109375" customWidth="1"/>
    <col min="10" max="13" width="9.140625" customWidth="1"/>
    <col min="19" max="19" width="12.42578125" customWidth="1"/>
    <col min="20" max="20" width="12.28515625" customWidth="1"/>
    <col min="21" max="21" width="9.140625" customWidth="1"/>
    <col min="26" max="26" width="9.710937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490</v>
      </c>
      <c r="N3" s="14" t="s">
        <v>8</v>
      </c>
      <c r="O3" s="101" t="s">
        <v>160</v>
      </c>
      <c r="P3" t="s">
        <v>489</v>
      </c>
      <c r="V3" s="102" t="s">
        <v>469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488</v>
      </c>
      <c r="D5" s="5"/>
      <c r="E5" s="5"/>
      <c r="F5" s="5"/>
      <c r="G5" s="5"/>
      <c r="H5" s="5"/>
      <c r="I5" s="5"/>
      <c r="J5" s="5"/>
      <c r="M5" s="5"/>
      <c r="N5" s="6" t="s">
        <v>8</v>
      </c>
      <c r="O5" s="36" t="s">
        <v>27</v>
      </c>
      <c r="P5" t="s">
        <v>161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B7" s="5"/>
      <c r="C7" s="12" t="s">
        <v>162</v>
      </c>
      <c r="D7" s="103"/>
      <c r="E7" s="103"/>
      <c r="F7" s="104"/>
      <c r="G7" s="104"/>
      <c r="H7" s="104"/>
      <c r="I7" s="104"/>
      <c r="J7" s="5"/>
      <c r="M7" s="5"/>
      <c r="N7" s="6" t="s">
        <v>8</v>
      </c>
      <c r="O7" s="5"/>
      <c r="P7" s="105" t="s">
        <v>163</v>
      </c>
      <c r="Q7" s="240" t="s">
        <v>256</v>
      </c>
      <c r="R7" s="240"/>
      <c r="S7" s="105"/>
      <c r="T7" s="105" t="s">
        <v>164</v>
      </c>
      <c r="U7" s="105"/>
      <c r="V7" s="10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31" t="s">
        <v>166</v>
      </c>
      <c r="D8" s="236" t="s">
        <v>167</v>
      </c>
      <c r="E8" s="237"/>
      <c r="F8" s="231" t="s">
        <v>168</v>
      </c>
      <c r="G8" s="233" t="s">
        <v>169</v>
      </c>
      <c r="H8" s="234"/>
      <c r="I8" s="235"/>
      <c r="J8" s="5"/>
      <c r="M8" s="5"/>
      <c r="N8" s="6" t="s">
        <v>8</v>
      </c>
      <c r="O8" s="5"/>
      <c r="P8" s="231" t="s">
        <v>166</v>
      </c>
      <c r="Q8" s="236" t="s">
        <v>167</v>
      </c>
      <c r="R8" s="237"/>
      <c r="S8" s="231" t="s">
        <v>170</v>
      </c>
      <c r="T8" s="233" t="s">
        <v>169</v>
      </c>
      <c r="U8" s="234"/>
      <c r="V8" s="23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32"/>
      <c r="D9" s="231" t="s">
        <v>171</v>
      </c>
      <c r="E9" s="231" t="s">
        <v>172</v>
      </c>
      <c r="F9" s="232"/>
      <c r="G9" s="231" t="s">
        <v>173</v>
      </c>
      <c r="H9" s="231" t="s">
        <v>174</v>
      </c>
      <c r="I9" s="231" t="s">
        <v>175</v>
      </c>
      <c r="J9" s="5"/>
      <c r="M9" s="5"/>
      <c r="N9" s="6" t="s">
        <v>8</v>
      </c>
      <c r="O9" s="5"/>
      <c r="P9" s="232"/>
      <c r="Q9" s="231" t="s">
        <v>171</v>
      </c>
      <c r="R9" s="231" t="s">
        <v>172</v>
      </c>
      <c r="S9" s="232"/>
      <c r="T9" s="231" t="s">
        <v>173</v>
      </c>
      <c r="U9" s="231" t="s">
        <v>174</v>
      </c>
      <c r="V9" s="231" t="s">
        <v>175</v>
      </c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32"/>
      <c r="D10" s="232"/>
      <c r="E10" s="232"/>
      <c r="F10" s="232"/>
      <c r="G10" s="232"/>
      <c r="H10" s="232"/>
      <c r="I10" s="232"/>
      <c r="J10" s="5"/>
      <c r="M10" s="5"/>
      <c r="N10" s="6" t="s">
        <v>8</v>
      </c>
      <c r="O10" s="5"/>
      <c r="P10" s="232"/>
      <c r="Q10" s="232"/>
      <c r="R10" s="232"/>
      <c r="S10" s="232"/>
      <c r="T10" s="232"/>
      <c r="U10" s="232"/>
      <c r="V10" s="232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106" t="s">
        <v>176</v>
      </c>
      <c r="D11" s="106" t="s">
        <v>177</v>
      </c>
      <c r="E11" s="106" t="s">
        <v>178</v>
      </c>
      <c r="F11" s="106" t="s">
        <v>179</v>
      </c>
      <c r="G11" s="106" t="s">
        <v>180</v>
      </c>
      <c r="H11" s="106" t="s">
        <v>181</v>
      </c>
      <c r="I11" s="106" t="s">
        <v>182</v>
      </c>
      <c r="J11" s="5"/>
      <c r="M11" s="5"/>
      <c r="N11" s="6" t="s">
        <v>8</v>
      </c>
      <c r="O11" s="5"/>
      <c r="P11" s="106" t="s">
        <v>176</v>
      </c>
      <c r="Q11" s="106" t="s">
        <v>177</v>
      </c>
      <c r="R11" s="106" t="s">
        <v>178</v>
      </c>
      <c r="S11" s="106" t="s">
        <v>179</v>
      </c>
      <c r="T11" s="106" t="s">
        <v>180</v>
      </c>
      <c r="U11" s="106" t="s">
        <v>181</v>
      </c>
      <c r="V11" s="106" t="s">
        <v>182</v>
      </c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107">
        <v>3200</v>
      </c>
      <c r="D12" s="107">
        <v>13100</v>
      </c>
      <c r="E12" s="107">
        <v>5400</v>
      </c>
      <c r="F12" s="107">
        <v>21700</v>
      </c>
      <c r="G12" s="107">
        <v>2300</v>
      </c>
      <c r="H12" s="107">
        <v>8900</v>
      </c>
      <c r="I12" s="107">
        <v>-6600</v>
      </c>
      <c r="J12" s="5"/>
      <c r="M12" s="5"/>
      <c r="N12" s="6" t="s">
        <v>8</v>
      </c>
      <c r="O12" s="5"/>
      <c r="P12" s="107">
        <f>C12</f>
        <v>3200</v>
      </c>
      <c r="Q12" s="107">
        <f>D12</f>
        <v>13100</v>
      </c>
      <c r="R12" s="107">
        <f t="shared" ref="R12:U12" si="0">E12</f>
        <v>5400</v>
      </c>
      <c r="S12" s="107">
        <f t="shared" si="0"/>
        <v>21700</v>
      </c>
      <c r="T12" s="107">
        <f t="shared" si="0"/>
        <v>2300</v>
      </c>
      <c r="U12" s="107">
        <f t="shared" si="0"/>
        <v>8900</v>
      </c>
      <c r="V12" s="107">
        <f>I12</f>
        <v>-6600</v>
      </c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105"/>
      <c r="D14" s="105"/>
      <c r="E14" s="105"/>
      <c r="F14" s="105"/>
      <c r="G14" s="105"/>
      <c r="H14" s="5"/>
      <c r="I14" s="5"/>
      <c r="J14" s="5"/>
      <c r="M14" s="5"/>
      <c r="N14" s="6" t="s">
        <v>8</v>
      </c>
      <c r="O14" s="5"/>
      <c r="P14" s="105"/>
      <c r="Q14" s="105"/>
      <c r="R14" s="105"/>
      <c r="S14" s="105"/>
      <c r="T14" s="10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162</v>
      </c>
      <c r="D15" s="105"/>
      <c r="E15" s="105"/>
      <c r="F15" s="105"/>
      <c r="G15" s="105"/>
      <c r="H15" s="5"/>
      <c r="I15" s="5"/>
      <c r="J15" s="5"/>
      <c r="M15" s="5"/>
      <c r="N15" s="6" t="s">
        <v>8</v>
      </c>
      <c r="O15" s="5"/>
      <c r="P15" s="105" t="s">
        <v>165</v>
      </c>
      <c r="Q15" s="105" t="s">
        <v>183</v>
      </c>
      <c r="R15" s="105" t="s">
        <v>184</v>
      </c>
      <c r="S15" s="105" t="s">
        <v>185</v>
      </c>
      <c r="T15" s="10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33" t="s">
        <v>186</v>
      </c>
      <c r="D16" s="32"/>
      <c r="E16" s="238"/>
      <c r="F16" s="108"/>
      <c r="G16" s="108"/>
      <c r="H16" s="5"/>
      <c r="I16" s="5"/>
      <c r="J16" s="5"/>
      <c r="M16" s="5"/>
      <c r="N16" s="6" t="s">
        <v>8</v>
      </c>
      <c r="O16" s="5"/>
      <c r="P16" s="233" t="s">
        <v>186</v>
      </c>
      <c r="Q16" s="32"/>
      <c r="R16" s="238"/>
      <c r="S16" s="108"/>
      <c r="T16" s="108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32" t="s">
        <v>187</v>
      </c>
      <c r="D17" s="232" t="s">
        <v>491</v>
      </c>
      <c r="E17" s="232" t="s">
        <v>188</v>
      </c>
      <c r="F17" s="232" t="s">
        <v>189</v>
      </c>
      <c r="G17" s="231" t="s">
        <v>190</v>
      </c>
      <c r="H17" s="5"/>
      <c r="I17" s="5"/>
      <c r="J17" s="5"/>
      <c r="M17" s="5"/>
      <c r="N17" s="6" t="s">
        <v>8</v>
      </c>
      <c r="O17" s="5"/>
      <c r="P17" s="232" t="s">
        <v>187</v>
      </c>
      <c r="Q17" s="232" t="s">
        <v>491</v>
      </c>
      <c r="R17" s="232" t="s">
        <v>188</v>
      </c>
      <c r="S17" s="232" t="s">
        <v>189</v>
      </c>
      <c r="T17" s="231" t="s">
        <v>190</v>
      </c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06" t="s">
        <v>191</v>
      </c>
      <c r="D18" s="106" t="s">
        <v>192</v>
      </c>
      <c r="E18" s="106" t="s">
        <v>193</v>
      </c>
      <c r="F18" s="106" t="s">
        <v>194</v>
      </c>
      <c r="G18" s="106" t="s">
        <v>195</v>
      </c>
      <c r="H18" s="5"/>
      <c r="I18" s="5"/>
      <c r="J18" s="5"/>
      <c r="M18" s="5"/>
      <c r="N18" s="6" t="s">
        <v>8</v>
      </c>
      <c r="O18" s="5"/>
      <c r="P18" s="106" t="s">
        <v>191</v>
      </c>
      <c r="Q18" s="106" t="s">
        <v>192</v>
      </c>
      <c r="R18" s="106" t="s">
        <v>193</v>
      </c>
      <c r="S18" s="106" t="s">
        <v>194</v>
      </c>
      <c r="T18" s="106" t="s">
        <v>195</v>
      </c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107">
        <v>4400</v>
      </c>
      <c r="D19" s="107">
        <f xml:space="preserve"> 5800 + H12</f>
        <v>14700</v>
      </c>
      <c r="E19" s="107">
        <v>6700</v>
      </c>
      <c r="F19" s="107">
        <v>4100</v>
      </c>
      <c r="G19" s="107">
        <f>SUM(C19:F19)</f>
        <v>29900</v>
      </c>
      <c r="H19" s="5"/>
      <c r="I19" s="5"/>
      <c r="J19" s="5"/>
      <c r="M19" s="5"/>
      <c r="N19" s="6" t="s">
        <v>8</v>
      </c>
      <c r="O19" s="5"/>
      <c r="P19" s="107">
        <f>C19</f>
        <v>4400</v>
      </c>
      <c r="Q19" s="107">
        <f>D19</f>
        <v>14700</v>
      </c>
      <c r="R19" s="107">
        <f>E19</f>
        <v>6700</v>
      </c>
      <c r="S19" s="107">
        <f>F19</f>
        <v>4100</v>
      </c>
      <c r="T19" s="107">
        <f>G19</f>
        <v>29900</v>
      </c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J21" s="5"/>
      <c r="M21" s="5"/>
      <c r="N21" s="6" t="s">
        <v>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12" t="s">
        <v>470</v>
      </c>
      <c r="D22" s="5"/>
      <c r="E22" s="5"/>
      <c r="F22" s="5"/>
      <c r="G22" s="5"/>
      <c r="H22" s="5"/>
      <c r="I22" s="5"/>
      <c r="J22" s="5"/>
      <c r="M22" s="5"/>
      <c r="N22" s="6" t="s">
        <v>8</v>
      </c>
      <c r="O22" s="41" t="s">
        <v>144</v>
      </c>
      <c r="P22" t="s">
        <v>196</v>
      </c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M23" s="5"/>
      <c r="N23" s="6" t="s">
        <v>8</v>
      </c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18" t="s">
        <v>197</v>
      </c>
      <c r="D24" s="19"/>
      <c r="E24" s="19"/>
      <c r="F24" s="53"/>
      <c r="G24" s="57">
        <v>125</v>
      </c>
      <c r="H24" s="109" t="s">
        <v>41</v>
      </c>
      <c r="I24" s="17" t="s">
        <v>198</v>
      </c>
      <c r="J24" s="5"/>
      <c r="M24" s="5"/>
      <c r="N24" s="6" t="s">
        <v>8</v>
      </c>
      <c r="P24" s="14" t="s">
        <v>199</v>
      </c>
      <c r="Q24" s="14" t="s">
        <v>10</v>
      </c>
      <c r="R24" s="110">
        <v>0.3</v>
      </c>
      <c r="S24" s="14" t="s">
        <v>146</v>
      </c>
      <c r="T24" s="14" t="s">
        <v>200</v>
      </c>
      <c r="U24" s="6"/>
      <c r="V24" s="6"/>
      <c r="W24" s="6"/>
      <c r="X24" s="6"/>
      <c r="Y24" s="5"/>
      <c r="Z24" s="5"/>
      <c r="AA24" s="5"/>
      <c r="AB24" s="6" t="s">
        <v>8</v>
      </c>
      <c r="AC24" s="5"/>
    </row>
    <row r="25" spans="3:29" ht="15" customHeight="1" x14ac:dyDescent="0.25">
      <c r="C25" s="21" t="s">
        <v>201</v>
      </c>
      <c r="D25" s="22"/>
      <c r="E25" s="22"/>
      <c r="F25" s="25"/>
      <c r="G25" s="24">
        <v>145</v>
      </c>
      <c r="H25" s="109" t="s">
        <v>41</v>
      </c>
      <c r="I25" s="17" t="s">
        <v>202</v>
      </c>
      <c r="J25" s="5"/>
      <c r="M25" s="5"/>
      <c r="N25" s="6" t="s">
        <v>8</v>
      </c>
      <c r="Q25" s="14" t="s">
        <v>10</v>
      </c>
      <c r="R25" s="110">
        <v>0.3</v>
      </c>
      <c r="S25" s="14" t="s">
        <v>146</v>
      </c>
      <c r="T25" s="6">
        <f>S12 + SUM(G24:G25) + SUM(G29:G32) - G33</f>
        <v>22570</v>
      </c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M26" s="5"/>
      <c r="N26" s="6" t="s">
        <v>8</v>
      </c>
      <c r="Q26" s="14" t="s">
        <v>10</v>
      </c>
      <c r="R26" s="6">
        <f>R25*T25</f>
        <v>6771</v>
      </c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12" t="s">
        <v>471</v>
      </c>
      <c r="M27" s="5"/>
      <c r="N27" s="6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M28" s="5"/>
      <c r="N28" s="6" t="s">
        <v>8</v>
      </c>
      <c r="P28" s="14" t="s">
        <v>204</v>
      </c>
      <c r="Q28" s="14" t="str">
        <f>IF(S19&lt;=R26,"does not","does")</f>
        <v>does not</v>
      </c>
      <c r="R28" s="14" t="s">
        <v>205</v>
      </c>
      <c r="S28" s="14"/>
      <c r="T28" s="111" t="str">
        <f>IF(Q28="does","==&gt;","")</f>
        <v/>
      </c>
      <c r="U28" s="6" t="str">
        <f>IF(Q28="does","subsititute","")</f>
        <v/>
      </c>
      <c r="V28" s="6" t="str">
        <f>IF(Q28="does",R26,"")</f>
        <v/>
      </c>
      <c r="W28" s="6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18" t="s">
        <v>472</v>
      </c>
      <c r="D29" s="19"/>
      <c r="E29" s="19"/>
      <c r="F29" s="53"/>
      <c r="G29" s="57">
        <v>1882</v>
      </c>
      <c r="H29" s="109" t="s">
        <v>41</v>
      </c>
      <c r="I29" s="17" t="s">
        <v>473</v>
      </c>
      <c r="M29" s="5"/>
      <c r="N29" s="6" t="s">
        <v>8</v>
      </c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" t="s">
        <v>474</v>
      </c>
      <c r="D30" s="5"/>
      <c r="E30" s="5"/>
      <c r="F30" s="50"/>
      <c r="G30" s="23">
        <v>128</v>
      </c>
      <c r="H30" s="109" t="s">
        <v>41</v>
      </c>
      <c r="I30" s="17" t="s">
        <v>475</v>
      </c>
      <c r="M30" s="5"/>
      <c r="N30" s="6" t="s">
        <v>8</v>
      </c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0" t="s">
        <v>476</v>
      </c>
      <c r="F31" s="94"/>
      <c r="G31" s="23">
        <v>-275</v>
      </c>
      <c r="H31" s="109" t="s">
        <v>41</v>
      </c>
      <c r="I31" s="17" t="s">
        <v>477</v>
      </c>
      <c r="M31" s="5"/>
      <c r="N31" s="6" t="s">
        <v>8</v>
      </c>
      <c r="O31" s="43" t="s">
        <v>478</v>
      </c>
      <c r="P31" s="5" t="s">
        <v>486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0" t="s">
        <v>197</v>
      </c>
      <c r="F32" s="94"/>
      <c r="G32" s="82">
        <v>133</v>
      </c>
      <c r="H32" s="109" t="s">
        <v>41</v>
      </c>
      <c r="I32" s="17" t="s">
        <v>479</v>
      </c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21" t="s">
        <v>480</v>
      </c>
      <c r="D33" s="59"/>
      <c r="E33" s="59"/>
      <c r="F33" s="239"/>
      <c r="G33" s="84">
        <v>1268</v>
      </c>
      <c r="H33" s="109" t="s">
        <v>41</v>
      </c>
      <c r="I33" s="17" t="s">
        <v>481</v>
      </c>
      <c r="M33" s="5"/>
      <c r="N33" s="6" t="s">
        <v>8</v>
      </c>
      <c r="O33" s="5"/>
      <c r="P33" s="6" t="s">
        <v>127</v>
      </c>
      <c r="Q33" s="6" t="s">
        <v>10</v>
      </c>
      <c r="R33" s="61" t="s">
        <v>487</v>
      </c>
      <c r="S33" s="6"/>
      <c r="T33" s="6"/>
      <c r="U33" s="114" t="s">
        <v>212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M34" s="5"/>
      <c r="N34" s="6" t="s">
        <v>8</v>
      </c>
      <c r="O34" s="5"/>
      <c r="P34" s="5"/>
      <c r="Q34" s="6" t="s">
        <v>10</v>
      </c>
      <c r="R34" s="61">
        <f xml:space="preserve">  SUM(T12+P19+Q19+R19+MIN(S19,R26)) - (S12 + SUM(G24:G25) + SUM(G29:G32) - G33)</f>
        <v>9630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12" t="s">
        <v>203</v>
      </c>
      <c r="D35" s="5"/>
      <c r="E35" s="5"/>
      <c r="F35" s="5"/>
      <c r="G35" s="5"/>
      <c r="H35" s="5"/>
      <c r="I35" s="5"/>
      <c r="J35" s="5"/>
      <c r="M35" s="5"/>
      <c r="N35" s="6" t="s">
        <v>8</v>
      </c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K36" s="5"/>
      <c r="L36" s="5"/>
      <c r="M36" s="5"/>
      <c r="N36" s="6" t="s">
        <v>8</v>
      </c>
      <c r="P36" t="s">
        <v>214</v>
      </c>
      <c r="T36" s="43">
        <f>MAX(0,R34)</f>
        <v>9630</v>
      </c>
      <c r="U36" s="17" t="s">
        <v>215</v>
      </c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112" t="s">
        <v>206</v>
      </c>
      <c r="D37" s="19"/>
      <c r="E37" s="19"/>
      <c r="F37" s="19"/>
      <c r="G37" s="19"/>
      <c r="H37" s="19"/>
      <c r="I37" s="19"/>
      <c r="J37" s="53"/>
      <c r="K37" s="5"/>
      <c r="L37" s="5"/>
      <c r="M37" s="5"/>
      <c r="N37" s="6" t="s">
        <v>8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113" t="s">
        <v>207</v>
      </c>
      <c r="D38" s="5"/>
      <c r="E38" s="5"/>
      <c r="F38" s="5"/>
      <c r="G38" s="5"/>
      <c r="H38" s="5"/>
      <c r="I38" s="5"/>
      <c r="J38" s="50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20" t="s">
        <v>208</v>
      </c>
      <c r="D39" s="5"/>
      <c r="E39" s="5"/>
      <c r="F39" s="5"/>
      <c r="G39" s="5"/>
      <c r="H39" s="5"/>
      <c r="I39" s="5"/>
      <c r="J39" s="50"/>
      <c r="K39" s="5"/>
      <c r="L39" s="5"/>
      <c r="M39" s="5"/>
      <c r="N39" s="6" t="s">
        <v>8</v>
      </c>
      <c r="O39" s="43" t="s">
        <v>482</v>
      </c>
      <c r="P39" s="5" t="s">
        <v>483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C40" s="20" t="s">
        <v>210</v>
      </c>
      <c r="D40" s="5"/>
      <c r="E40" s="5"/>
      <c r="F40" s="5"/>
      <c r="G40" s="5"/>
      <c r="H40" s="5"/>
      <c r="I40" s="5"/>
      <c r="J40" s="50"/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C41" s="20" t="s">
        <v>211</v>
      </c>
      <c r="D41" s="5"/>
      <c r="E41" s="5"/>
      <c r="F41" s="5"/>
      <c r="G41" s="5"/>
      <c r="H41" s="5"/>
      <c r="I41" s="5"/>
      <c r="J41" s="50"/>
      <c r="N41" s="6" t="s">
        <v>8</v>
      </c>
      <c r="O41" s="5"/>
      <c r="P41" s="6" t="s">
        <v>21</v>
      </c>
      <c r="Q41" s="6" t="s">
        <v>10</v>
      </c>
      <c r="R41" s="61" t="s">
        <v>484</v>
      </c>
      <c r="S41" s="6"/>
      <c r="T41" s="6"/>
      <c r="U41" s="114" t="s">
        <v>212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C42" s="21" t="s">
        <v>213</v>
      </c>
      <c r="D42" s="22"/>
      <c r="E42" s="22"/>
      <c r="F42" s="22"/>
      <c r="G42" s="22"/>
      <c r="H42" s="22"/>
      <c r="I42" s="22"/>
      <c r="J42" s="25"/>
      <c r="N42" s="6" t="s">
        <v>8</v>
      </c>
      <c r="O42" s="5"/>
      <c r="P42" s="5"/>
      <c r="Q42" s="6" t="s">
        <v>10</v>
      </c>
      <c r="R42" s="61">
        <f xml:space="preserve"> 0.2*(S12 + SUM(G24:G25) + SUM(G29:G32) - G33 - T12)</f>
        <v>4054</v>
      </c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P44" t="s">
        <v>485</v>
      </c>
      <c r="T44" s="43">
        <f>MAX(0,R42 -  T36)</f>
        <v>0</v>
      </c>
      <c r="U44" s="17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6" t="s">
        <v>8</v>
      </c>
      <c r="O2" s="115" t="s">
        <v>216</v>
      </c>
      <c r="P2" s="11"/>
      <c r="Q2" s="11"/>
      <c r="R2" s="11"/>
      <c r="S2" s="11"/>
      <c r="T2" s="11"/>
      <c r="U2" s="11"/>
      <c r="V2" s="11"/>
      <c r="W2" s="11"/>
      <c r="X2" s="116"/>
      <c r="AB2" s="14" t="s">
        <v>8</v>
      </c>
    </row>
    <row r="3" spans="1:29" ht="15" customHeight="1" x14ac:dyDescent="0.25">
      <c r="A3" s="4" t="s">
        <v>5</v>
      </c>
      <c r="C3" t="s">
        <v>335</v>
      </c>
      <c r="N3" s="6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O4" s="36" t="s">
        <v>217</v>
      </c>
      <c r="P4" s="117"/>
      <c r="Q4" s="117"/>
      <c r="AB4" s="6" t="s">
        <v>8</v>
      </c>
      <c r="AC4" s="5"/>
    </row>
    <row r="5" spans="1:29" ht="15" customHeight="1" x14ac:dyDescent="0.25">
      <c r="A5" s="12" t="s">
        <v>9</v>
      </c>
      <c r="C5" s="5" t="s">
        <v>218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t="s">
        <v>219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14">
        <v>1.1000000000000001</v>
      </c>
      <c r="R6" s="6" t="s">
        <v>146</v>
      </c>
      <c r="S6" t="s">
        <v>220</v>
      </c>
      <c r="T6" s="6" t="s">
        <v>146</v>
      </c>
      <c r="U6" t="s">
        <v>221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8" t="s">
        <v>222</v>
      </c>
      <c r="D7" s="19"/>
      <c r="E7" s="19"/>
      <c r="F7" s="19"/>
      <c r="G7" s="19"/>
      <c r="H7" s="19"/>
      <c r="I7" s="53"/>
      <c r="J7" s="57">
        <v>1110</v>
      </c>
      <c r="K7" s="5"/>
      <c r="L7" s="5"/>
      <c r="M7" s="5"/>
      <c r="N7" s="6" t="s">
        <v>8</v>
      </c>
      <c r="O7" s="5"/>
      <c r="P7" s="6" t="s">
        <v>10</v>
      </c>
      <c r="Q7" s="14">
        <v>1.1000000000000001</v>
      </c>
      <c r="R7" s="6" t="s">
        <v>146</v>
      </c>
      <c r="S7" s="241">
        <f>J11</f>
        <v>0.12</v>
      </c>
      <c r="T7" s="6" t="s">
        <v>146</v>
      </c>
      <c r="U7" s="61" t="str">
        <f>"[ (" &amp; $J$7 &amp; " - " &amp; $J$9 &amp;")"</f>
        <v>[ (1110 - 155.4)</v>
      </c>
      <c r="V7" s="5"/>
      <c r="W7" s="6" t="s">
        <v>11</v>
      </c>
      <c r="X7" s="5" t="str">
        <f>"(" &amp; $J$8 &amp; " - " &amp; $J$10 &amp; ") ]"</f>
        <v>(210 - 31.5) ]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1" t="s">
        <v>223</v>
      </c>
      <c r="D8" s="22"/>
      <c r="E8" s="22"/>
      <c r="F8" s="22"/>
      <c r="G8" s="22"/>
      <c r="H8" s="22"/>
      <c r="I8" s="25"/>
      <c r="J8" s="24">
        <v>210</v>
      </c>
      <c r="K8" s="5"/>
      <c r="L8" s="5"/>
      <c r="M8" s="5"/>
      <c r="N8" s="6" t="s">
        <v>8</v>
      </c>
      <c r="O8" s="5"/>
      <c r="P8" s="6" t="s">
        <v>10</v>
      </c>
      <c r="Q8" s="242">
        <f>Q7*S7*(J7-J9-(J8-J10))</f>
        <v>102.44520000000001</v>
      </c>
      <c r="R8" s="5"/>
      <c r="S8" s="5"/>
      <c r="T8" s="5"/>
      <c r="U8" s="5"/>
      <c r="V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224</v>
      </c>
      <c r="D9" s="5"/>
      <c r="E9" s="5"/>
      <c r="F9" s="5"/>
      <c r="G9" s="5"/>
      <c r="H9" s="5"/>
      <c r="I9" s="50"/>
      <c r="J9" s="23">
        <v>155.4</v>
      </c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1" t="s">
        <v>225</v>
      </c>
      <c r="D10" s="22"/>
      <c r="E10" s="22"/>
      <c r="F10" s="22"/>
      <c r="G10" s="22"/>
      <c r="H10" s="22"/>
      <c r="I10" s="25"/>
      <c r="J10" s="24">
        <v>31.5</v>
      </c>
      <c r="K10" s="5"/>
      <c r="L10" s="5"/>
      <c r="M10" s="5"/>
      <c r="N10" s="6" t="s">
        <v>8</v>
      </c>
      <c r="AA10" s="5"/>
      <c r="AB10" s="6" t="s">
        <v>8</v>
      </c>
      <c r="AC10" s="5"/>
    </row>
    <row r="11" spans="1:29" ht="15" customHeight="1" x14ac:dyDescent="0.25">
      <c r="A11" s="5"/>
      <c r="B11" s="5"/>
      <c r="C11" s="21" t="s">
        <v>226</v>
      </c>
      <c r="D11" s="22"/>
      <c r="E11" s="22"/>
      <c r="F11" s="22"/>
      <c r="G11" s="22"/>
      <c r="H11" s="22"/>
      <c r="I11" s="25"/>
      <c r="J11" s="119">
        <v>0.12</v>
      </c>
      <c r="K11" s="5"/>
      <c r="L11" s="5"/>
      <c r="M11" s="5"/>
      <c r="N11" s="6" t="s">
        <v>8</v>
      </c>
      <c r="O11" s="120" t="s">
        <v>227</v>
      </c>
      <c r="P11" s="120"/>
      <c r="Q11" s="120"/>
      <c r="R11" s="5"/>
      <c r="S11" s="5"/>
      <c r="T11" s="5"/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 t="s">
        <v>228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8" t="s">
        <v>229</v>
      </c>
      <c r="D13" s="19"/>
      <c r="E13" s="19"/>
      <c r="F13" s="19"/>
      <c r="G13" s="19"/>
      <c r="H13" s="19"/>
      <c r="I13" s="53"/>
      <c r="J13" s="57">
        <v>100</v>
      </c>
      <c r="K13" s="5"/>
      <c r="L13" s="5"/>
      <c r="M13" s="5"/>
      <c r="N13" s="6" t="s">
        <v>8</v>
      </c>
      <c r="O13" s="5"/>
      <c r="P13" s="6" t="s">
        <v>10</v>
      </c>
      <c r="Q13" t="s">
        <v>220</v>
      </c>
      <c r="R13" s="6" t="s">
        <v>146</v>
      </c>
      <c r="S13" s="5" t="s">
        <v>230</v>
      </c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231</v>
      </c>
      <c r="D14" s="5"/>
      <c r="E14" s="5"/>
      <c r="F14" s="5"/>
      <c r="G14" s="5"/>
      <c r="H14" s="5"/>
      <c r="I14" s="50"/>
      <c r="J14" s="23">
        <v>46</v>
      </c>
      <c r="K14" s="5"/>
      <c r="L14" s="5"/>
      <c r="M14" s="5"/>
      <c r="N14" s="6" t="s">
        <v>8</v>
      </c>
      <c r="O14" s="5"/>
      <c r="P14" s="6" t="s">
        <v>10</v>
      </c>
      <c r="Q14" s="118">
        <f>J16</f>
        <v>0.2</v>
      </c>
      <c r="R14" s="6" t="s">
        <v>146</v>
      </c>
      <c r="S14" s="5" t="str">
        <f>"MAX [ ( " &amp; J13 &amp; " - " &amp; J14 &amp; ") , 30% x" &amp; J15 &amp; ") ]"</f>
        <v>MAX [ ( 100 - 46) , 30% x1210) ]</v>
      </c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232</v>
      </c>
      <c r="D15" s="22"/>
      <c r="E15" s="22"/>
      <c r="F15" s="22"/>
      <c r="G15" s="22"/>
      <c r="H15" s="22"/>
      <c r="I15" s="25"/>
      <c r="J15" s="24">
        <v>1210</v>
      </c>
      <c r="K15" s="5"/>
      <c r="L15" s="5"/>
      <c r="M15" s="5"/>
      <c r="N15" s="6" t="s">
        <v>8</v>
      </c>
      <c r="O15" s="5"/>
      <c r="P15" s="6" t="s">
        <v>10</v>
      </c>
      <c r="Q15" s="118">
        <f>J16</f>
        <v>0.2</v>
      </c>
      <c r="R15" s="6" t="s">
        <v>146</v>
      </c>
      <c r="S15" s="5" t="str">
        <f>"MAX [ " &amp; J13-J14 &amp; " , " &amp; 0.3*J15 &amp; " ]"</f>
        <v>MAX [ 54 , 363 ]</v>
      </c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1" t="s">
        <v>233</v>
      </c>
      <c r="D16" s="22"/>
      <c r="E16" s="22"/>
      <c r="F16" s="22"/>
      <c r="G16" s="22"/>
      <c r="H16" s="22"/>
      <c r="I16" s="25"/>
      <c r="J16" s="119">
        <v>0.2</v>
      </c>
      <c r="K16" s="5"/>
      <c r="L16" s="5"/>
      <c r="M16" s="5"/>
      <c r="N16" s="6" t="s">
        <v>8</v>
      </c>
      <c r="O16" s="5"/>
      <c r="P16" s="6" t="s">
        <v>10</v>
      </c>
      <c r="Q16" s="121">
        <f>Q15*MAX(J13-J14,0.3*J15)</f>
        <v>72.600000000000009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8" t="s">
        <v>234</v>
      </c>
      <c r="D18" s="122"/>
      <c r="E18" s="122"/>
      <c r="F18" s="122"/>
      <c r="G18" s="122"/>
      <c r="H18" s="122"/>
      <c r="I18" s="123"/>
      <c r="J18" s="57">
        <v>430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235</v>
      </c>
      <c r="D19" s="22"/>
      <c r="E19" s="22"/>
      <c r="F19" s="22"/>
      <c r="G19" s="22"/>
      <c r="H19" s="22"/>
      <c r="I19" s="25"/>
      <c r="J19" s="24">
        <v>260</v>
      </c>
      <c r="K19" s="5"/>
      <c r="L19" s="5"/>
      <c r="M19" s="5"/>
      <c r="N19" s="6" t="s">
        <v>8</v>
      </c>
      <c r="O19" s="124" t="s">
        <v>236</v>
      </c>
      <c r="P19" s="124"/>
      <c r="Q19" s="124"/>
      <c r="R19" s="6" t="s">
        <v>10</v>
      </c>
      <c r="S19" s="125">
        <f>J18</f>
        <v>430</v>
      </c>
      <c r="T19" s="109" t="s">
        <v>41</v>
      </c>
      <c r="U19" s="17" t="s">
        <v>237</v>
      </c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8" t="s">
        <v>238</v>
      </c>
      <c r="D21" s="19"/>
      <c r="E21" s="19"/>
      <c r="F21" s="19"/>
      <c r="G21" s="19"/>
      <c r="H21" s="19"/>
      <c r="I21" s="53"/>
      <c r="J21" s="57">
        <v>200</v>
      </c>
      <c r="K21" s="5"/>
      <c r="L21" s="5"/>
      <c r="M21" s="5"/>
      <c r="N21" s="6" t="s">
        <v>8</v>
      </c>
      <c r="O21" s="126" t="s">
        <v>239</v>
      </c>
      <c r="P21" s="126"/>
      <c r="Q21" s="126"/>
      <c r="R21" s="6" t="s">
        <v>10</v>
      </c>
      <c r="S21" s="127">
        <f>J19</f>
        <v>260</v>
      </c>
      <c r="T21" s="109" t="s">
        <v>41</v>
      </c>
      <c r="U21" s="17" t="s">
        <v>237</v>
      </c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240</v>
      </c>
      <c r="D22" s="5"/>
      <c r="E22" s="5"/>
      <c r="F22" s="5"/>
      <c r="G22" s="5"/>
      <c r="H22" s="5"/>
      <c r="I22" s="50"/>
      <c r="J22" s="23">
        <v>82</v>
      </c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241</v>
      </c>
      <c r="D23" s="22"/>
      <c r="E23" s="22"/>
      <c r="F23" s="22"/>
      <c r="G23" s="22"/>
      <c r="H23" s="22"/>
      <c r="I23" s="25"/>
      <c r="J23" s="24">
        <v>12.299999999999999</v>
      </c>
      <c r="K23" s="5"/>
      <c r="L23" s="5"/>
      <c r="M23" s="5"/>
      <c r="N23" s="6" t="s">
        <v>8</v>
      </c>
      <c r="O23" s="126" t="s">
        <v>242</v>
      </c>
      <c r="P23" s="126"/>
      <c r="Q23" s="126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 t="s">
        <v>243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6" t="s">
        <v>10</v>
      </c>
      <c r="Q25" s="29">
        <v>1.25</v>
      </c>
      <c r="R25" s="6" t="s">
        <v>146</v>
      </c>
      <c r="S25" s="5" t="s">
        <v>244</v>
      </c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10</v>
      </c>
      <c r="Q26" s="29">
        <v>1.25</v>
      </c>
      <c r="R26" s="6" t="s">
        <v>146</v>
      </c>
      <c r="S26" s="6">
        <f>J21-J22-J23</f>
        <v>105.7</v>
      </c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6" t="s">
        <v>10</v>
      </c>
      <c r="Q27" s="127">
        <f>Q26*S26</f>
        <v>132.125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15" t="s">
        <v>245</v>
      </c>
      <c r="P30" s="16"/>
      <c r="Q30" s="16"/>
      <c r="R30" s="16"/>
      <c r="S30" s="16"/>
      <c r="T30" s="16"/>
      <c r="U30" s="16"/>
      <c r="V30" s="16"/>
      <c r="W30" s="16"/>
      <c r="X30" s="46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 t="s">
        <v>217</v>
      </c>
      <c r="P32" s="5"/>
      <c r="Q32" s="5"/>
      <c r="R32" s="128">
        <f>Q8</f>
        <v>102.44520000000001</v>
      </c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 t="s">
        <v>227</v>
      </c>
      <c r="P33" s="5"/>
      <c r="Q33" s="5"/>
      <c r="R33" s="128">
        <f>Q16</f>
        <v>72.600000000000009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 t="s">
        <v>236</v>
      </c>
      <c r="P34" s="5"/>
      <c r="Q34" s="5"/>
      <c r="R34" s="128">
        <f>S19</f>
        <v>430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 t="s">
        <v>239</v>
      </c>
      <c r="P35" s="5"/>
      <c r="Q35" s="5"/>
      <c r="R35" s="128">
        <f>S21</f>
        <v>260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 t="s">
        <v>242</v>
      </c>
      <c r="P36" s="5"/>
      <c r="Q36" s="5"/>
      <c r="R36" s="128">
        <f>Q27</f>
        <v>132.125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129">
        <f>SUM(R32:R36)</f>
        <v>997.17020000000002</v>
      </c>
      <c r="S37" s="109" t="s">
        <v>41</v>
      </c>
      <c r="T37" s="17" t="s">
        <v>246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337</v>
      </c>
      <c r="N3" s="14" t="s">
        <v>8</v>
      </c>
      <c r="O3" s="36" t="s">
        <v>27</v>
      </c>
      <c r="P3" t="s">
        <v>338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P4" s="74" t="s">
        <v>339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340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P6" s="4" t="s">
        <v>341</v>
      </c>
      <c r="AB6" s="6" t="s">
        <v>8</v>
      </c>
      <c r="AC6" s="5"/>
    </row>
    <row r="7" spans="1:29" ht="1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AB7" s="6" t="s">
        <v>8</v>
      </c>
      <c r="AC7" s="5"/>
    </row>
    <row r="8" spans="1:29" ht="15" customHeight="1" x14ac:dyDescent="0.25">
      <c r="A8" s="5"/>
      <c r="B8" s="5"/>
      <c r="C8" s="163" t="s">
        <v>342</v>
      </c>
      <c r="D8" s="164"/>
      <c r="E8" s="165">
        <v>2024</v>
      </c>
      <c r="F8" s="5"/>
      <c r="G8" s="5"/>
      <c r="H8" s="5"/>
      <c r="I8" s="5"/>
      <c r="J8" s="5"/>
      <c r="K8" s="5"/>
      <c r="L8" s="5"/>
      <c r="M8" s="5"/>
      <c r="N8" s="6" t="s">
        <v>8</v>
      </c>
      <c r="P8" s="14" t="s">
        <v>343</v>
      </c>
      <c r="Q8" s="14" t="s">
        <v>10</v>
      </c>
      <c r="R8" t="s">
        <v>344</v>
      </c>
      <c r="AB8" s="6" t="s">
        <v>8</v>
      </c>
      <c r="AC8" s="5"/>
    </row>
    <row r="9" spans="1:29" ht="15" customHeight="1" x14ac:dyDescent="0.25">
      <c r="A9" s="5"/>
      <c r="B9" s="5"/>
      <c r="C9" s="151" t="s">
        <v>345</v>
      </c>
      <c r="D9" s="166"/>
      <c r="E9" s="167" t="s">
        <v>346</v>
      </c>
      <c r="F9" s="5"/>
      <c r="G9" s="5"/>
      <c r="H9" s="5"/>
      <c r="I9" s="5"/>
      <c r="J9" s="5"/>
      <c r="K9" s="5"/>
      <c r="L9" s="5"/>
      <c r="M9" s="5"/>
      <c r="N9" s="6" t="s">
        <v>8</v>
      </c>
      <c r="Q9" s="14" t="s">
        <v>10</v>
      </c>
      <c r="R9" t="s">
        <v>347</v>
      </c>
      <c r="U9" s="14" t="s">
        <v>18</v>
      </c>
      <c r="V9" t="s">
        <v>348</v>
      </c>
      <c r="Y9" s="168" t="s">
        <v>349</v>
      </c>
      <c r="Z9" s="14"/>
      <c r="AA9" s="14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Q10" s="14" t="s">
        <v>10</v>
      </c>
      <c r="R10" t="s">
        <v>35</v>
      </c>
      <c r="S10" s="5">
        <f>F11</f>
        <v>40000</v>
      </c>
      <c r="T10" t="s">
        <v>350</v>
      </c>
      <c r="U10" s="14" t="s">
        <v>18</v>
      </c>
      <c r="V10" s="5">
        <f>F12</f>
        <v>120000</v>
      </c>
      <c r="W10" t="s">
        <v>350</v>
      </c>
      <c r="Y10" s="168" t="s">
        <v>349</v>
      </c>
      <c r="AB10" s="6" t="s">
        <v>8</v>
      </c>
      <c r="AC10" s="5"/>
    </row>
    <row r="11" spans="1:29" ht="15" customHeight="1" x14ac:dyDescent="0.25">
      <c r="A11" s="12"/>
      <c r="B11" s="5"/>
      <c r="C11" s="18" t="s">
        <v>351</v>
      </c>
      <c r="D11" s="19"/>
      <c r="E11" s="53"/>
      <c r="F11" s="57">
        <v>40000</v>
      </c>
      <c r="G11" s="5"/>
      <c r="H11" s="5"/>
      <c r="I11" s="5"/>
      <c r="J11" s="5"/>
      <c r="K11" s="5"/>
      <c r="L11" s="5"/>
      <c r="M11" s="5"/>
      <c r="N11" s="6" t="s">
        <v>8</v>
      </c>
      <c r="Q11" s="14" t="s">
        <v>10</v>
      </c>
      <c r="R11" s="78">
        <f>(S10^1.5 + V10^1.5 ) ^ (1 / 1.5)</f>
        <v>134940.2114783705</v>
      </c>
      <c r="AB11" s="6" t="s">
        <v>8</v>
      </c>
      <c r="AC11" s="5"/>
    </row>
    <row r="12" spans="1:29" ht="15" customHeight="1" x14ac:dyDescent="0.25">
      <c r="A12" s="5"/>
      <c r="B12" s="5"/>
      <c r="C12" s="21" t="s">
        <v>352</v>
      </c>
      <c r="D12" s="22"/>
      <c r="E12" s="25"/>
      <c r="F12" s="24">
        <v>120000</v>
      </c>
      <c r="G12" s="5"/>
      <c r="H12" s="5"/>
      <c r="I12" s="5"/>
      <c r="J12" s="5"/>
      <c r="K12" s="5"/>
      <c r="L12" s="5"/>
      <c r="M12" s="5"/>
      <c r="N12" s="6" t="s">
        <v>8</v>
      </c>
      <c r="AB12" s="6" t="s">
        <v>8</v>
      </c>
      <c r="AC12" s="5"/>
    </row>
    <row r="13" spans="1:29" ht="15" customHeight="1" x14ac:dyDescent="0.25">
      <c r="A13" s="5"/>
      <c r="B13" s="5"/>
      <c r="C13" s="20" t="s">
        <v>353</v>
      </c>
      <c r="D13" s="5"/>
      <c r="E13" s="50"/>
      <c r="F13" s="23">
        <v>49200</v>
      </c>
      <c r="G13" s="5"/>
      <c r="H13" s="5"/>
      <c r="I13" s="5"/>
      <c r="J13" s="5"/>
      <c r="K13" s="5"/>
      <c r="L13" s="5"/>
      <c r="M13" s="5"/>
      <c r="N13" s="6" t="s">
        <v>8</v>
      </c>
      <c r="P13" s="4" t="s">
        <v>354</v>
      </c>
      <c r="AB13" s="6" t="s">
        <v>8</v>
      </c>
      <c r="AC13" s="5"/>
    </row>
    <row r="14" spans="1:29" ht="15" customHeight="1" x14ac:dyDescent="0.25">
      <c r="A14" s="5"/>
      <c r="B14" s="5"/>
      <c r="C14" s="21" t="s">
        <v>355</v>
      </c>
      <c r="D14" s="22"/>
      <c r="E14" s="25"/>
      <c r="F14" s="24">
        <v>133200</v>
      </c>
      <c r="G14" s="5"/>
      <c r="H14" s="5"/>
      <c r="I14" s="5"/>
      <c r="J14" s="5"/>
      <c r="K14" s="5"/>
      <c r="L14" s="5"/>
      <c r="M14" s="5"/>
      <c r="N14" s="6" t="s">
        <v>8</v>
      </c>
      <c r="AB14" s="6" t="s">
        <v>8</v>
      </c>
      <c r="AC14" s="5"/>
    </row>
    <row r="15" spans="1:29" ht="15" customHeight="1" x14ac:dyDescent="0.25">
      <c r="C15" s="20" t="s">
        <v>356</v>
      </c>
      <c r="D15" s="5"/>
      <c r="E15" s="50"/>
      <c r="F15" s="23">
        <v>23600</v>
      </c>
      <c r="G15" s="5"/>
      <c r="H15" s="5"/>
      <c r="I15" s="5"/>
      <c r="J15" s="5"/>
      <c r="K15" s="5"/>
      <c r="L15" s="5"/>
      <c r="M15" s="5"/>
      <c r="N15" s="6" t="s">
        <v>8</v>
      </c>
      <c r="P15" s="14" t="s">
        <v>343</v>
      </c>
      <c r="Q15" s="14" t="s">
        <v>10</v>
      </c>
      <c r="R15" t="s">
        <v>357</v>
      </c>
      <c r="S15" t="s">
        <v>358</v>
      </c>
      <c r="U15" s="42" t="s">
        <v>11</v>
      </c>
      <c r="V15" t="s">
        <v>359</v>
      </c>
      <c r="Y15" t="s">
        <v>329</v>
      </c>
      <c r="AB15" s="6" t="s">
        <v>8</v>
      </c>
      <c r="AC15" s="5"/>
    </row>
    <row r="16" spans="1:29" ht="15" customHeight="1" x14ac:dyDescent="0.25">
      <c r="C16" s="21" t="s">
        <v>360</v>
      </c>
      <c r="D16" s="22"/>
      <c r="E16" s="25"/>
      <c r="F16" s="24">
        <v>60000</v>
      </c>
      <c r="G16" s="5"/>
      <c r="H16" s="5"/>
      <c r="I16" s="5"/>
      <c r="J16" s="5"/>
      <c r="K16" s="5"/>
      <c r="L16" s="5"/>
      <c r="M16" s="5"/>
      <c r="N16" s="6" t="s">
        <v>8</v>
      </c>
      <c r="Q16" s="14"/>
      <c r="S16" t="s">
        <v>361</v>
      </c>
      <c r="U16" s="42" t="s">
        <v>11</v>
      </c>
      <c r="V16" t="s">
        <v>359</v>
      </c>
      <c r="Y16" t="s">
        <v>37</v>
      </c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Q17" s="14"/>
      <c r="U17" s="42"/>
      <c r="AB17" s="6" t="s">
        <v>8</v>
      </c>
      <c r="AC17" s="5"/>
    </row>
    <row r="18" spans="3:29" ht="15" customHeight="1" x14ac:dyDescent="0.25">
      <c r="C18" s="18" t="s">
        <v>362</v>
      </c>
      <c r="D18" s="19"/>
      <c r="E18" s="53"/>
      <c r="F18" s="57">
        <v>25000</v>
      </c>
      <c r="G18" s="5"/>
      <c r="H18" s="5"/>
      <c r="I18" s="5"/>
      <c r="J18" s="5"/>
      <c r="K18" s="5"/>
      <c r="L18" s="5"/>
      <c r="M18" s="5"/>
      <c r="N18" s="6" t="s">
        <v>8</v>
      </c>
      <c r="Q18" s="14" t="s">
        <v>10</v>
      </c>
      <c r="R18" t="s">
        <v>357</v>
      </c>
      <c r="S18" s="5">
        <f>F13</f>
        <v>49200</v>
      </c>
      <c r="U18" s="42" t="s">
        <v>11</v>
      </c>
      <c r="V18" s="5">
        <f>J21</f>
        <v>25000</v>
      </c>
      <c r="Y18" t="s">
        <v>329</v>
      </c>
      <c r="AB18" s="6" t="s">
        <v>8</v>
      </c>
      <c r="AC18" s="5"/>
    </row>
    <row r="19" spans="3:29" ht="15" customHeight="1" x14ac:dyDescent="0.25">
      <c r="C19" s="21" t="s">
        <v>363</v>
      </c>
      <c r="D19" s="22"/>
      <c r="E19" s="25"/>
      <c r="F19" s="24">
        <v>125000</v>
      </c>
      <c r="G19" s="5"/>
      <c r="H19" s="5"/>
      <c r="I19" s="5"/>
      <c r="J19" s="5"/>
      <c r="K19" s="5"/>
      <c r="L19" s="5"/>
      <c r="M19" s="5"/>
      <c r="N19" s="6" t="s">
        <v>8</v>
      </c>
      <c r="S19" s="5">
        <f>F14</f>
        <v>133200</v>
      </c>
      <c r="U19" s="42" t="s">
        <v>11</v>
      </c>
      <c r="V19" s="5">
        <f>J21</f>
        <v>25000</v>
      </c>
      <c r="Y19" t="s">
        <v>37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AB20" s="6" t="s">
        <v>8</v>
      </c>
      <c r="AC20" s="5"/>
    </row>
    <row r="21" spans="3:29" ht="15" customHeight="1" x14ac:dyDescent="0.25">
      <c r="C21" s="15" t="s">
        <v>364</v>
      </c>
      <c r="D21" s="16"/>
      <c r="E21" s="16"/>
      <c r="F21" s="16"/>
      <c r="G21" s="16"/>
      <c r="H21" s="16"/>
      <c r="I21" s="46"/>
      <c r="J21" s="47">
        <v>25000</v>
      </c>
      <c r="K21" s="5"/>
      <c r="L21" s="5"/>
      <c r="M21" s="5"/>
      <c r="N21" s="6" t="s">
        <v>8</v>
      </c>
      <c r="Q21" s="14" t="s">
        <v>10</v>
      </c>
      <c r="R21" t="s">
        <v>357</v>
      </c>
      <c r="S21" s="28">
        <f>S18-V18</f>
        <v>24200</v>
      </c>
      <c r="T21" s="14" t="s">
        <v>329</v>
      </c>
      <c r="U21" s="28">
        <f>S19-V19</f>
        <v>108200</v>
      </c>
      <c r="V21" s="14" t="s">
        <v>37</v>
      </c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AB22" s="6" t="s">
        <v>8</v>
      </c>
      <c r="AC22" s="5"/>
    </row>
    <row r="23" spans="3:29" ht="15" customHeight="1" x14ac:dyDescent="0.25">
      <c r="C23" s="12" t="s">
        <v>51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Q23" s="14" t="s">
        <v>10</v>
      </c>
      <c r="R23" s="163">
        <f>MAX(S21,U21)</f>
        <v>108200</v>
      </c>
      <c r="AB23" s="6" t="s">
        <v>8</v>
      </c>
      <c r="AC23" s="5"/>
    </row>
    <row r="24" spans="3:29" ht="15" customHeight="1" x14ac:dyDescent="0.25">
      <c r="C24" s="163" t="s">
        <v>365</v>
      </c>
      <c r="D24" s="16" t="s">
        <v>366</v>
      </c>
      <c r="E24" s="16"/>
      <c r="F24" s="16"/>
      <c r="G24" s="16"/>
      <c r="H24" s="16"/>
      <c r="I24" s="16"/>
      <c r="J24" s="16"/>
      <c r="K24" s="46"/>
      <c r="L24" s="5"/>
      <c r="M24" s="5"/>
      <c r="N24" s="6" t="s">
        <v>8</v>
      </c>
      <c r="AB24" s="6" t="s">
        <v>8</v>
      </c>
      <c r="AC24" s="5"/>
    </row>
    <row r="25" spans="3:29" ht="15" customHeight="1" x14ac:dyDescent="0.25">
      <c r="C25" s="26" t="s">
        <v>367</v>
      </c>
      <c r="D25" s="5" t="s">
        <v>368</v>
      </c>
      <c r="E25" s="5"/>
      <c r="F25" s="5"/>
      <c r="G25" s="5"/>
      <c r="H25" s="5"/>
      <c r="I25" s="5"/>
      <c r="J25" s="5"/>
      <c r="K25" s="50"/>
      <c r="L25" s="5"/>
      <c r="M25" s="5"/>
      <c r="N25" s="6" t="s">
        <v>8</v>
      </c>
      <c r="O25" s="135" t="s">
        <v>144</v>
      </c>
      <c r="P25" t="s">
        <v>369</v>
      </c>
      <c r="AB25" s="6" t="s">
        <v>8</v>
      </c>
      <c r="AC25" s="5"/>
    </row>
    <row r="26" spans="3:29" ht="15" customHeight="1" x14ac:dyDescent="0.25">
      <c r="C26" s="26" t="s">
        <v>370</v>
      </c>
      <c r="D26" s="5" t="s">
        <v>371</v>
      </c>
      <c r="E26" s="5"/>
      <c r="F26" s="5"/>
      <c r="G26" s="5"/>
      <c r="H26" s="5"/>
      <c r="I26" s="5"/>
      <c r="J26" s="5"/>
      <c r="K26" s="50"/>
      <c r="L26" s="5"/>
      <c r="M26" s="5"/>
      <c r="N26" s="6" t="s">
        <v>8</v>
      </c>
      <c r="AB26" s="6" t="s">
        <v>8</v>
      </c>
      <c r="AC26" s="5"/>
    </row>
    <row r="27" spans="3:29" ht="15" customHeight="1" x14ac:dyDescent="0.25">
      <c r="C27" s="151" t="s">
        <v>343</v>
      </c>
      <c r="D27" s="22" t="s">
        <v>372</v>
      </c>
      <c r="E27" s="22"/>
      <c r="F27" s="22"/>
      <c r="G27" s="22"/>
      <c r="H27" s="22"/>
      <c r="I27" s="22"/>
      <c r="J27" s="22"/>
      <c r="K27" s="25"/>
      <c r="L27" s="5"/>
      <c r="M27" s="5"/>
      <c r="N27" s="6" t="s">
        <v>8</v>
      </c>
      <c r="P27" s="14" t="s">
        <v>370</v>
      </c>
      <c r="Q27" s="14" t="s">
        <v>10</v>
      </c>
      <c r="R27" s="14" t="s">
        <v>343</v>
      </c>
      <c r="S27" s="14" t="s">
        <v>11</v>
      </c>
      <c r="T27" s="14" t="s">
        <v>373</v>
      </c>
      <c r="AB27" s="6" t="s">
        <v>8</v>
      </c>
      <c r="AC27" s="5"/>
    </row>
    <row r="28" spans="3:29" ht="15" customHeight="1" x14ac:dyDescent="0.25">
      <c r="C28" s="26" t="s">
        <v>374</v>
      </c>
      <c r="D28" s="5" t="s">
        <v>375</v>
      </c>
      <c r="E28" s="5"/>
      <c r="F28" s="5"/>
      <c r="G28" s="5"/>
      <c r="H28" s="5"/>
      <c r="I28" s="5"/>
      <c r="J28" s="5"/>
      <c r="K28" s="50"/>
      <c r="L28" s="5"/>
      <c r="M28" s="5"/>
      <c r="N28" s="6" t="s">
        <v>8</v>
      </c>
      <c r="Q28" s="14" t="s">
        <v>10</v>
      </c>
      <c r="R28" s="6">
        <f>IF(E9="Model Approach", R11, R23)</f>
        <v>134940.2114783705</v>
      </c>
      <c r="S28" s="14" t="s">
        <v>11</v>
      </c>
      <c r="T28" s="6">
        <f>F16</f>
        <v>60000</v>
      </c>
      <c r="AB28" s="6" t="s">
        <v>8</v>
      </c>
      <c r="AC28" s="5"/>
    </row>
    <row r="29" spans="3:29" ht="15" customHeight="1" x14ac:dyDescent="0.25">
      <c r="C29" s="151" t="s">
        <v>373</v>
      </c>
      <c r="D29" s="22" t="s">
        <v>376</v>
      </c>
      <c r="E29" s="22"/>
      <c r="F29" s="22"/>
      <c r="G29" s="22"/>
      <c r="H29" s="22"/>
      <c r="I29" s="22"/>
      <c r="J29" s="22"/>
      <c r="K29" s="25"/>
      <c r="L29" s="5"/>
      <c r="M29" s="5"/>
      <c r="N29" s="6" t="s">
        <v>8</v>
      </c>
      <c r="Q29" s="14" t="s">
        <v>10</v>
      </c>
      <c r="R29" s="120">
        <f>R28-T28</f>
        <v>74940.211478370504</v>
      </c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169" t="s">
        <v>209</v>
      </c>
      <c r="P31" t="s">
        <v>377</v>
      </c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P33" s="14" t="s">
        <v>365</v>
      </c>
      <c r="Q33" s="14" t="s">
        <v>10</v>
      </c>
      <c r="R33" s="14">
        <v>1.25</v>
      </c>
      <c r="S33" s="14" t="s">
        <v>146</v>
      </c>
      <c r="T33" s="14" t="s">
        <v>35</v>
      </c>
      <c r="U33" s="14" t="s">
        <v>367</v>
      </c>
      <c r="V33" s="14" t="s">
        <v>18</v>
      </c>
      <c r="W33" s="14" t="s">
        <v>370</v>
      </c>
      <c r="X33" s="14" t="s">
        <v>37</v>
      </c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Q34" s="14" t="s">
        <v>10</v>
      </c>
      <c r="R34" s="14">
        <f>R33</f>
        <v>1.25</v>
      </c>
      <c r="S34" s="14" t="s">
        <v>146</v>
      </c>
      <c r="T34" s="14" t="s">
        <v>35</v>
      </c>
      <c r="U34" s="5">
        <f>F15</f>
        <v>23600</v>
      </c>
      <c r="V34" s="14" t="s">
        <v>18</v>
      </c>
      <c r="W34" s="120">
        <f>R29</f>
        <v>74940.211478370504</v>
      </c>
      <c r="X34" s="14" t="s">
        <v>37</v>
      </c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Q35" s="14" t="s">
        <v>10</v>
      </c>
      <c r="R35" s="63">
        <f>R34 * (U34+W34)</f>
        <v>123175.26434796312</v>
      </c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R36" s="13" t="s">
        <v>43</v>
      </c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AB39" s="6" t="s">
        <v>8</v>
      </c>
      <c r="AC39" s="5"/>
    </row>
    <row r="40" spans="1:29" ht="15" customHeight="1" x14ac:dyDescent="0.25">
      <c r="N40" s="6" t="s">
        <v>8</v>
      </c>
      <c r="AB40" s="6" t="s">
        <v>8</v>
      </c>
      <c r="AC40" s="5"/>
    </row>
    <row r="41" spans="1:29" ht="15" customHeight="1" x14ac:dyDescent="0.25">
      <c r="N41" s="6" t="s">
        <v>8</v>
      </c>
      <c r="AB41" s="6" t="s">
        <v>8</v>
      </c>
      <c r="AC41" s="5"/>
    </row>
    <row r="42" spans="1:29" ht="15" customHeight="1" x14ac:dyDescent="0.25">
      <c r="N42" s="6" t="s">
        <v>8</v>
      </c>
      <c r="AB42" s="6" t="s">
        <v>8</v>
      </c>
      <c r="AC42" s="5"/>
    </row>
    <row r="43" spans="1:29" ht="15" customHeight="1" x14ac:dyDescent="0.25">
      <c r="N43" s="6" t="s">
        <v>8</v>
      </c>
      <c r="AB43" s="6" t="s">
        <v>8</v>
      </c>
      <c r="AC43" s="5"/>
    </row>
    <row r="44" spans="1:29" ht="15" customHeight="1" x14ac:dyDescent="0.25">
      <c r="N44" s="6" t="s">
        <v>8</v>
      </c>
      <c r="AB44" s="6" t="s">
        <v>8</v>
      </c>
      <c r="AC44" s="5"/>
    </row>
    <row r="45" spans="1:29" ht="15" customHeight="1" x14ac:dyDescent="0.25">
      <c r="N45" s="6" t="s">
        <v>8</v>
      </c>
      <c r="AB45" s="6" t="s">
        <v>8</v>
      </c>
      <c r="AC45" s="5"/>
    </row>
    <row r="46" spans="1:29" ht="15" customHeight="1" x14ac:dyDescent="0.25">
      <c r="N46" s="6" t="s">
        <v>8</v>
      </c>
      <c r="AB46" s="6" t="s">
        <v>8</v>
      </c>
      <c r="AC46" s="5"/>
    </row>
    <row r="47" spans="1:29" ht="15" customHeight="1" x14ac:dyDescent="0.25">
      <c r="N47" s="6" t="s">
        <v>8</v>
      </c>
      <c r="AB47" s="6" t="s">
        <v>8</v>
      </c>
      <c r="AC47" s="5"/>
    </row>
    <row r="48" spans="1:29" ht="15" customHeight="1" x14ac:dyDescent="0.25">
      <c r="N48" s="6" t="s">
        <v>8</v>
      </c>
      <c r="AB48" s="6" t="s">
        <v>8</v>
      </c>
      <c r="AC48" s="5"/>
    </row>
    <row r="49" spans="14:29" ht="15" customHeight="1" x14ac:dyDescent="0.25">
      <c r="N49" s="6" t="s">
        <v>8</v>
      </c>
      <c r="AB49" s="6" t="s">
        <v>8</v>
      </c>
      <c r="AC49" s="5"/>
    </row>
    <row r="50" spans="14:29" ht="15" customHeight="1" x14ac:dyDescent="0.25">
      <c r="N50" s="6" t="s">
        <v>8</v>
      </c>
      <c r="AB50" s="6" t="s">
        <v>8</v>
      </c>
      <c r="AC50" s="5"/>
    </row>
    <row r="51" spans="14:29" ht="15" customHeight="1" x14ac:dyDescent="0.25">
      <c r="N51" s="6" t="s">
        <v>8</v>
      </c>
      <c r="AB51" s="6" t="s">
        <v>8</v>
      </c>
    </row>
    <row r="52" spans="14:29" ht="15" customHeight="1" x14ac:dyDescent="0.25">
      <c r="N52" s="6" t="s">
        <v>8</v>
      </c>
      <c r="AB52" s="6" t="s">
        <v>8</v>
      </c>
    </row>
    <row r="53" spans="14:29" ht="15" customHeight="1" x14ac:dyDescent="0.25">
      <c r="N53" s="6" t="s">
        <v>8</v>
      </c>
      <c r="AB53" s="6" t="s">
        <v>8</v>
      </c>
    </row>
    <row r="54" spans="14:29" ht="15" customHeight="1" x14ac:dyDescent="0.25">
      <c r="N54" s="6" t="s">
        <v>8</v>
      </c>
      <c r="AB54" s="6" t="s">
        <v>8</v>
      </c>
    </row>
    <row r="55" spans="14:29" ht="15" customHeight="1" x14ac:dyDescent="0.25">
      <c r="N55" s="6" t="s">
        <v>8</v>
      </c>
      <c r="AB55" s="6" t="s">
        <v>8</v>
      </c>
    </row>
    <row r="56" spans="14:29" ht="15" customHeight="1" x14ac:dyDescent="0.25">
      <c r="N56" s="6" t="s">
        <v>8</v>
      </c>
      <c r="AB56" s="6" t="s">
        <v>8</v>
      </c>
    </row>
    <row r="57" spans="14:29" ht="15" customHeight="1" x14ac:dyDescent="0.25">
      <c r="N57" s="6" t="s">
        <v>8</v>
      </c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>
      <selection activeCell="M63" sqref="M63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  <col min="23" max="23" width="6.7109375" customWidth="1"/>
    <col min="26" max="26" width="10.710937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378</v>
      </c>
      <c r="N3" s="14" t="s">
        <v>8</v>
      </c>
      <c r="O3" s="36" t="s">
        <v>27</v>
      </c>
      <c r="P3" t="s">
        <v>380</v>
      </c>
      <c r="U3" s="5" t="s">
        <v>381</v>
      </c>
      <c r="V3" s="5"/>
      <c r="W3" s="5"/>
      <c r="X3" s="5"/>
      <c r="Y3" s="5"/>
      <c r="Z3" s="5"/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382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70" t="s">
        <v>383</v>
      </c>
      <c r="Q5" s="171"/>
      <c r="R5" s="171"/>
      <c r="S5" s="172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B7" s="5"/>
      <c r="C7" s="64" t="s">
        <v>384</v>
      </c>
      <c r="D7" s="79"/>
      <c r="E7" s="79"/>
      <c r="F7" s="173"/>
      <c r="G7" s="79"/>
      <c r="H7" s="174" t="s">
        <v>385</v>
      </c>
      <c r="I7" s="175" t="s">
        <v>386</v>
      </c>
      <c r="J7" s="5"/>
      <c r="L7" s="5"/>
      <c r="M7" s="5"/>
      <c r="N7" s="6" t="s">
        <v>8</v>
      </c>
      <c r="O7" s="5"/>
      <c r="P7" s="6" t="s">
        <v>74</v>
      </c>
      <c r="Q7" s="6" t="s">
        <v>10</v>
      </c>
      <c r="R7" s="5" t="s">
        <v>249</v>
      </c>
      <c r="S7" s="5"/>
      <c r="T7" s="6" t="s">
        <v>146</v>
      </c>
      <c r="U7" s="6" t="s">
        <v>387</v>
      </c>
      <c r="V7" s="6" t="s">
        <v>146</v>
      </c>
      <c r="W7" s="5" t="s">
        <v>388</v>
      </c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0" t="s">
        <v>389</v>
      </c>
      <c r="D8" s="5"/>
      <c r="E8" s="5"/>
      <c r="F8" s="50"/>
      <c r="G8" s="176"/>
      <c r="H8" s="177">
        <v>8</v>
      </c>
      <c r="I8" s="23">
        <v>61800</v>
      </c>
      <c r="J8" s="5"/>
      <c r="K8" s="5"/>
      <c r="L8" s="5"/>
      <c r="M8" s="5"/>
      <c r="N8" s="6" t="s">
        <v>8</v>
      </c>
      <c r="O8" s="5"/>
      <c r="P8" s="6" t="s">
        <v>256</v>
      </c>
      <c r="Q8" s="6" t="s">
        <v>10</v>
      </c>
      <c r="R8" s="5" t="s">
        <v>257</v>
      </c>
      <c r="S8" s="5"/>
      <c r="T8" s="6" t="s">
        <v>146</v>
      </c>
      <c r="U8" s="6" t="s">
        <v>387</v>
      </c>
      <c r="V8" s="6" t="s">
        <v>146</v>
      </c>
      <c r="W8" s="5" t="s">
        <v>390</v>
      </c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391</v>
      </c>
      <c r="D9" s="5"/>
      <c r="E9" s="5"/>
      <c r="F9" s="50"/>
      <c r="G9" s="176"/>
      <c r="H9" s="177">
        <v>7.75</v>
      </c>
      <c r="I9" s="23">
        <v>9270</v>
      </c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392</v>
      </c>
      <c r="D10" s="5"/>
      <c r="E10" s="5"/>
      <c r="F10" s="50"/>
      <c r="G10" s="176"/>
      <c r="H10" s="177">
        <v>6</v>
      </c>
      <c r="I10" s="23">
        <v>30900</v>
      </c>
      <c r="J10" s="5"/>
      <c r="K10" s="5"/>
      <c r="L10" s="5"/>
      <c r="M10" s="5"/>
      <c r="N10" s="6" t="s">
        <v>8</v>
      </c>
      <c r="O10" s="5"/>
      <c r="P10" s="6" t="s">
        <v>21</v>
      </c>
      <c r="Q10" s="6" t="s">
        <v>10</v>
      </c>
      <c r="R10" s="6" t="s">
        <v>8</v>
      </c>
      <c r="S10" s="6" t="s">
        <v>74</v>
      </c>
      <c r="T10" s="6" t="s">
        <v>11</v>
      </c>
      <c r="U10" s="6" t="s">
        <v>256</v>
      </c>
      <c r="V10" s="6" t="s">
        <v>8</v>
      </c>
      <c r="W10" s="49" t="s">
        <v>41</v>
      </c>
      <c r="X10" s="178" t="s">
        <v>393</v>
      </c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21" t="s">
        <v>394</v>
      </c>
      <c r="D11" s="22"/>
      <c r="E11" s="22"/>
      <c r="F11" s="25"/>
      <c r="G11" s="179"/>
      <c r="H11" s="180">
        <v>6.75</v>
      </c>
      <c r="I11" s="24">
        <v>9270</v>
      </c>
      <c r="J11" s="5"/>
      <c r="K11" s="5"/>
      <c r="L11" s="5"/>
      <c r="M11" s="5"/>
      <c r="N11" s="6" t="s">
        <v>8</v>
      </c>
      <c r="O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6" t="s">
        <v>8</v>
      </c>
      <c r="O12" s="5"/>
      <c r="P12" s="12" t="s">
        <v>395</v>
      </c>
      <c r="Q12" s="5"/>
      <c r="R12" s="5"/>
      <c r="S12" s="5" t="s">
        <v>396</v>
      </c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15" t="s">
        <v>397</v>
      </c>
      <c r="D13" s="16"/>
      <c r="E13" s="46"/>
      <c r="F13" s="181">
        <v>125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U13">
        <v>8</v>
      </c>
      <c r="V13">
        <v>61800</v>
      </c>
      <c r="Z13" s="5"/>
      <c r="AA13" s="5"/>
      <c r="AB13" s="6" t="s">
        <v>8</v>
      </c>
      <c r="AC13" s="5"/>
    </row>
    <row r="14" spans="1:29" ht="1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18"/>
      <c r="Q14" s="53"/>
      <c r="R14" s="182" t="s">
        <v>398</v>
      </c>
      <c r="S14" s="182"/>
      <c r="T14" s="182"/>
      <c r="U14" s="182">
        <v>7.75</v>
      </c>
      <c r="V14" s="182">
        <v>9270</v>
      </c>
      <c r="W14" s="149"/>
      <c r="X14" s="53"/>
      <c r="Y14" s="53"/>
      <c r="Z14" s="5"/>
      <c r="AA14" s="5"/>
      <c r="AB14" s="6" t="s">
        <v>8</v>
      </c>
      <c r="AC14" s="5"/>
    </row>
    <row r="15" spans="1:29" ht="15" customHeight="1" x14ac:dyDescent="0.25">
      <c r="C15" s="64" t="s">
        <v>399</v>
      </c>
      <c r="D15" s="79"/>
      <c r="E15" s="79"/>
      <c r="F15" s="79"/>
      <c r="G15" s="173"/>
      <c r="H15" s="183" t="s">
        <v>400</v>
      </c>
      <c r="I15" s="175" t="s">
        <v>386</v>
      </c>
      <c r="J15" s="5"/>
      <c r="K15" s="5"/>
      <c r="L15" s="5"/>
      <c r="M15" s="5"/>
      <c r="N15" s="6" t="s">
        <v>8</v>
      </c>
      <c r="O15" s="5"/>
      <c r="P15" s="21"/>
      <c r="Q15" s="25"/>
      <c r="R15" s="76" t="s">
        <v>17</v>
      </c>
      <c r="S15" s="76" t="s">
        <v>146</v>
      </c>
      <c r="T15" s="76" t="s">
        <v>387</v>
      </c>
      <c r="U15" s="76">
        <v>6</v>
      </c>
      <c r="V15" s="76">
        <v>30900</v>
      </c>
      <c r="W15" s="151"/>
      <c r="X15" s="184" t="s">
        <v>401</v>
      </c>
      <c r="Y15" s="25"/>
      <c r="Z15" s="5"/>
      <c r="AA15" s="5"/>
      <c r="AB15" s="6" t="s">
        <v>8</v>
      </c>
      <c r="AC15" s="5"/>
    </row>
    <row r="16" spans="1:29" ht="15" customHeight="1" x14ac:dyDescent="0.25">
      <c r="C16" s="20" t="s">
        <v>402</v>
      </c>
      <c r="D16" s="5"/>
      <c r="E16" s="5"/>
      <c r="F16" s="5"/>
      <c r="G16" s="50"/>
      <c r="H16" s="185" t="s">
        <v>403</v>
      </c>
      <c r="I16" s="23">
        <v>1200</v>
      </c>
      <c r="J16" s="5"/>
      <c r="K16" s="5"/>
      <c r="L16" s="5"/>
      <c r="M16" s="5"/>
      <c r="N16" s="6" t="s">
        <v>8</v>
      </c>
      <c r="O16" s="5"/>
      <c r="P16" s="20" t="s">
        <v>389</v>
      </c>
      <c r="Q16" s="50"/>
      <c r="R16" s="186">
        <f>H8</f>
        <v>8</v>
      </c>
      <c r="S16" s="6" t="s">
        <v>146</v>
      </c>
      <c r="T16" s="146">
        <f>F13/10000</f>
        <v>1.2500000000000001E-2</v>
      </c>
      <c r="U16" s="6">
        <v>6.75</v>
      </c>
      <c r="V16" s="5">
        <f>I8</f>
        <v>61800</v>
      </c>
      <c r="W16" s="81" t="s">
        <v>10</v>
      </c>
      <c r="X16" s="50">
        <f>R16*T16*V16</f>
        <v>6180</v>
      </c>
      <c r="Y16" s="187" t="s">
        <v>404</v>
      </c>
      <c r="Z16" s="5"/>
      <c r="AA16" s="5"/>
      <c r="AB16" s="6" t="s">
        <v>8</v>
      </c>
      <c r="AC16" s="5"/>
    </row>
    <row r="17" spans="3:29" ht="15" customHeight="1" x14ac:dyDescent="0.25">
      <c r="C17" s="20" t="s">
        <v>405</v>
      </c>
      <c r="D17" s="5"/>
      <c r="E17" s="5"/>
      <c r="F17" s="5"/>
      <c r="G17" s="50"/>
      <c r="H17" s="185" t="s">
        <v>403</v>
      </c>
      <c r="I17" s="23">
        <v>2400</v>
      </c>
      <c r="J17" s="5"/>
      <c r="K17" s="5"/>
      <c r="L17" s="5"/>
      <c r="M17" s="5"/>
      <c r="N17" s="6" t="s">
        <v>8</v>
      </c>
      <c r="O17" s="5"/>
      <c r="P17" s="20" t="s">
        <v>391</v>
      </c>
      <c r="Q17" s="50"/>
      <c r="R17" s="186">
        <f>H9</f>
        <v>7.75</v>
      </c>
      <c r="S17" s="6" t="s">
        <v>146</v>
      </c>
      <c r="T17" s="146">
        <f>T16</f>
        <v>1.2500000000000001E-2</v>
      </c>
      <c r="U17" s="6" t="s">
        <v>146</v>
      </c>
      <c r="V17" s="5">
        <f>I9</f>
        <v>9270</v>
      </c>
      <c r="W17" s="81" t="s">
        <v>10</v>
      </c>
      <c r="X17" s="50">
        <f t="shared" ref="X17:X19" si="0">R17*T17*V17</f>
        <v>898.03125</v>
      </c>
      <c r="Y17" s="187" t="s">
        <v>404</v>
      </c>
      <c r="Z17" s="5"/>
      <c r="AA17" s="5"/>
      <c r="AB17" s="6" t="s">
        <v>8</v>
      </c>
      <c r="AC17" s="5"/>
    </row>
    <row r="18" spans="3:29" ht="15" customHeight="1" x14ac:dyDescent="0.25">
      <c r="C18" s="21" t="s">
        <v>406</v>
      </c>
      <c r="D18" s="22"/>
      <c r="E18" s="22"/>
      <c r="F18" s="22"/>
      <c r="G18" s="25"/>
      <c r="H18" s="188" t="s">
        <v>403</v>
      </c>
      <c r="I18" s="24">
        <v>500</v>
      </c>
      <c r="J18" s="5"/>
      <c r="K18" s="5"/>
      <c r="L18" s="5"/>
      <c r="M18" s="5"/>
      <c r="N18" s="6" t="s">
        <v>8</v>
      </c>
      <c r="O18" s="5"/>
      <c r="P18" s="20" t="s">
        <v>217</v>
      </c>
      <c r="Q18" s="50"/>
      <c r="R18" s="186">
        <f>H10</f>
        <v>6</v>
      </c>
      <c r="S18" s="6" t="s">
        <v>146</v>
      </c>
      <c r="T18" s="146">
        <f>T17</f>
        <v>1.2500000000000001E-2</v>
      </c>
      <c r="U18" s="6" t="s">
        <v>146</v>
      </c>
      <c r="V18" s="5">
        <f>I10</f>
        <v>30900</v>
      </c>
      <c r="W18" s="81" t="s">
        <v>10</v>
      </c>
      <c r="X18" s="50">
        <f t="shared" si="0"/>
        <v>2317.5000000000005</v>
      </c>
      <c r="Y18" s="189" t="s">
        <v>407</v>
      </c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6" t="s">
        <v>8</v>
      </c>
      <c r="O19" s="5"/>
      <c r="P19" s="21" t="s">
        <v>408</v>
      </c>
      <c r="Q19" s="25"/>
      <c r="R19" s="190">
        <f>H11</f>
        <v>6.75</v>
      </c>
      <c r="S19" s="76" t="s">
        <v>146</v>
      </c>
      <c r="T19" s="191">
        <f>T18</f>
        <v>1.2500000000000001E-2</v>
      </c>
      <c r="U19" s="76" t="s">
        <v>146</v>
      </c>
      <c r="V19" s="22">
        <f>I11</f>
        <v>9270</v>
      </c>
      <c r="W19" s="83" t="s">
        <v>10</v>
      </c>
      <c r="X19" s="25">
        <f t="shared" si="0"/>
        <v>782.15625</v>
      </c>
      <c r="Y19" s="192" t="s">
        <v>407</v>
      </c>
      <c r="Z19" s="5"/>
      <c r="AA19" s="5"/>
      <c r="AB19" s="6" t="s">
        <v>8</v>
      </c>
      <c r="AC19" s="5"/>
    </row>
    <row r="20" spans="3:29" ht="15" customHeight="1" x14ac:dyDescent="0.25">
      <c r="C20" s="64" t="s">
        <v>409</v>
      </c>
      <c r="D20" s="79"/>
      <c r="E20" s="173"/>
      <c r="F20" s="175" t="s">
        <v>386</v>
      </c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410</v>
      </c>
      <c r="D21" s="5"/>
      <c r="E21" s="50"/>
      <c r="F21" s="23">
        <v>1000</v>
      </c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411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412</v>
      </c>
      <c r="D22" s="5"/>
      <c r="E22" s="50"/>
      <c r="F22" s="23">
        <v>50</v>
      </c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0" t="s">
        <v>413</v>
      </c>
      <c r="D23" s="5"/>
      <c r="E23" s="50"/>
      <c r="F23" s="23">
        <v>2900</v>
      </c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6" t="s">
        <v>74</v>
      </c>
      <c r="Q23" s="6" t="s">
        <v>10</v>
      </c>
      <c r="R23" s="5" t="s">
        <v>414</v>
      </c>
      <c r="S23" s="5"/>
      <c r="T23" s="5"/>
      <c r="U23" s="5"/>
      <c r="V23" s="5"/>
      <c r="W23" s="44" t="s">
        <v>10</v>
      </c>
      <c r="X23" s="5">
        <f>SUM(X16:X17)</f>
        <v>7078.03125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21" t="s">
        <v>415</v>
      </c>
      <c r="D24" s="22"/>
      <c r="E24" s="25"/>
      <c r="F24" s="24">
        <v>2200</v>
      </c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6" t="s">
        <v>256</v>
      </c>
      <c r="Q24" s="6" t="s">
        <v>10</v>
      </c>
      <c r="R24" s="5" t="s">
        <v>416</v>
      </c>
      <c r="S24" s="5"/>
      <c r="T24" s="5"/>
      <c r="U24" s="5"/>
      <c r="V24" s="5"/>
      <c r="W24" s="44" t="s">
        <v>10</v>
      </c>
      <c r="X24" s="5">
        <f>SUM(X18:X19)</f>
        <v>3099.6562500000005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15" t="s">
        <v>417</v>
      </c>
      <c r="Q26" s="16"/>
      <c r="R26" s="16"/>
      <c r="S26" s="16"/>
      <c r="T26" s="16"/>
      <c r="U26" s="16"/>
      <c r="V26" s="16"/>
      <c r="W26" s="193" t="s">
        <v>10</v>
      </c>
      <c r="X26" s="194">
        <f>ABS(X23-X24)</f>
        <v>3978.3749999999995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195" t="s">
        <v>418</v>
      </c>
      <c r="Q29" s="171"/>
      <c r="R29" s="171"/>
      <c r="S29" s="172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6" t="s">
        <v>21</v>
      </c>
      <c r="Q31" s="6" t="s">
        <v>10</v>
      </c>
      <c r="R31" s="93">
        <v>0.1</v>
      </c>
      <c r="S31" s="6" t="s">
        <v>146</v>
      </c>
      <c r="T31" s="6" t="s">
        <v>357</v>
      </c>
      <c r="U31" s="6" t="s">
        <v>419</v>
      </c>
      <c r="V31" s="6"/>
      <c r="W31" s="6" t="s">
        <v>329</v>
      </c>
      <c r="X31" s="6" t="s">
        <v>420</v>
      </c>
      <c r="Y31" s="6"/>
      <c r="Z31" s="6" t="s">
        <v>37</v>
      </c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6" t="s">
        <v>10</v>
      </c>
      <c r="R32" s="93">
        <v>0.1</v>
      </c>
      <c r="S32" s="6" t="s">
        <v>146</v>
      </c>
      <c r="T32" s="6" t="s">
        <v>357</v>
      </c>
      <c r="U32" s="5">
        <f>I16+I17-I18</f>
        <v>3100</v>
      </c>
      <c r="V32" s="5"/>
      <c r="W32" s="6" t="s">
        <v>329</v>
      </c>
      <c r="X32" s="5">
        <v>0</v>
      </c>
      <c r="Y32" s="5"/>
      <c r="Z32" s="6" t="s">
        <v>37</v>
      </c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6" t="s">
        <v>10</v>
      </c>
      <c r="R33" s="196">
        <f>R32*MAX(U32,X32)</f>
        <v>310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195" t="s">
        <v>421</v>
      </c>
      <c r="Q36" s="171"/>
      <c r="R36" s="171"/>
      <c r="S36" s="172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6" t="s">
        <v>21</v>
      </c>
      <c r="Q38" s="6" t="s">
        <v>10</v>
      </c>
      <c r="R38" s="93">
        <v>0.3</v>
      </c>
      <c r="S38" s="6" t="s">
        <v>146</v>
      </c>
      <c r="T38" s="6" t="s">
        <v>35</v>
      </c>
      <c r="U38" s="5" t="s">
        <v>410</v>
      </c>
      <c r="V38" s="5"/>
      <c r="W38" s="6" t="s">
        <v>18</v>
      </c>
      <c r="X38" s="5" t="s">
        <v>422</v>
      </c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93">
        <v>0.3</v>
      </c>
      <c r="S39" s="6" t="s">
        <v>146</v>
      </c>
      <c r="T39" s="6" t="s">
        <v>35</v>
      </c>
      <c r="U39" s="5">
        <f>F21</f>
        <v>1000</v>
      </c>
      <c r="V39" s="5"/>
      <c r="W39" s="6" t="s">
        <v>18</v>
      </c>
      <c r="X39" s="6">
        <f>F22</f>
        <v>50</v>
      </c>
      <c r="Y39" s="5" t="s">
        <v>37</v>
      </c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6" t="s">
        <v>10</v>
      </c>
      <c r="R40" s="196">
        <f>R39*(U39+X39)</f>
        <v>315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195" t="s">
        <v>423</v>
      </c>
      <c r="Q43" s="171"/>
      <c r="R43" s="171"/>
      <c r="S43" s="172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6" t="s">
        <v>21</v>
      </c>
      <c r="Q45" s="6" t="s">
        <v>10</v>
      </c>
      <c r="R45" s="93">
        <v>0.1</v>
      </c>
      <c r="S45" s="6" t="s">
        <v>146</v>
      </c>
      <c r="T45" s="61" t="s">
        <v>424</v>
      </c>
      <c r="U45" s="5"/>
      <c r="V45" s="5"/>
      <c r="W45" s="6" t="s">
        <v>18</v>
      </c>
      <c r="X45" s="93">
        <v>0.2</v>
      </c>
      <c r="Y45" s="6" t="s">
        <v>146</v>
      </c>
      <c r="Z45" s="5" t="s">
        <v>425</v>
      </c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6" t="s">
        <v>10</v>
      </c>
      <c r="R46" s="93">
        <v>0.1</v>
      </c>
      <c r="S46" s="6" t="s">
        <v>146</v>
      </c>
      <c r="T46" s="5">
        <f>F23</f>
        <v>2900</v>
      </c>
      <c r="U46" s="5"/>
      <c r="V46" s="5"/>
      <c r="W46" s="6" t="s">
        <v>18</v>
      </c>
      <c r="X46" s="93">
        <v>0.2</v>
      </c>
      <c r="Y46" s="6" t="s">
        <v>146</v>
      </c>
      <c r="Z46" s="5">
        <f>F24</f>
        <v>2200</v>
      </c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6" t="s">
        <v>10</v>
      </c>
      <c r="R47" s="196">
        <f>R46*T46 + X46*Z46</f>
        <v>730</v>
      </c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169" t="s">
        <v>144</v>
      </c>
      <c r="P50" s="5" t="s">
        <v>426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76" t="s">
        <v>21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 t="s">
        <v>427</v>
      </c>
      <c r="Q53" s="5"/>
      <c r="R53" s="5"/>
      <c r="S53" s="5">
        <f>X26</f>
        <v>3978.3749999999995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 t="s">
        <v>428</v>
      </c>
      <c r="Q54" s="5"/>
      <c r="R54" s="5"/>
      <c r="S54" s="5">
        <f>R33</f>
        <v>310</v>
      </c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 t="s">
        <v>429</v>
      </c>
      <c r="Q55" s="5"/>
      <c r="R55" s="5"/>
      <c r="S55" s="5">
        <f>R40</f>
        <v>315</v>
      </c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 t="s">
        <v>430</v>
      </c>
      <c r="Q56" s="5"/>
      <c r="R56" s="5"/>
      <c r="S56" s="5">
        <f>R47</f>
        <v>730</v>
      </c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197">
        <f>SUM(S53:S56)</f>
        <v>5333.375</v>
      </c>
      <c r="T57" s="198" t="s">
        <v>431</v>
      </c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333</v>
      </c>
      <c r="N3" s="14" t="s">
        <v>8</v>
      </c>
      <c r="O3" s="36" t="s">
        <v>27</v>
      </c>
      <c r="P3" t="s">
        <v>247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248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74</v>
      </c>
      <c r="Q5" s="6" t="s">
        <v>10</v>
      </c>
      <c r="R5" s="5" t="s">
        <v>249</v>
      </c>
      <c r="S5" s="5"/>
      <c r="T5" s="6" t="s">
        <v>146</v>
      </c>
      <c r="U5" s="6" t="s">
        <v>250</v>
      </c>
      <c r="V5" s="6" t="s">
        <v>146</v>
      </c>
      <c r="W5" s="5" t="s">
        <v>251</v>
      </c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6" t="s">
        <v>10</v>
      </c>
      <c r="R6" s="45">
        <f>H8</f>
        <v>4.5</v>
      </c>
      <c r="S6" s="5"/>
      <c r="T6" s="6" t="s">
        <v>146</v>
      </c>
      <c r="U6" s="130">
        <v>1.2500000000000001E-2</v>
      </c>
      <c r="V6" s="6" t="s">
        <v>146</v>
      </c>
      <c r="W6" s="6">
        <f>G8</f>
        <v>950</v>
      </c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/>
      <c r="D7" s="16"/>
      <c r="E7" s="16"/>
      <c r="F7" s="46"/>
      <c r="G7" s="131" t="s">
        <v>252</v>
      </c>
      <c r="H7" s="131" t="s">
        <v>17</v>
      </c>
      <c r="I7" s="5"/>
      <c r="J7" s="5"/>
      <c r="K7" s="5"/>
      <c r="L7" s="5"/>
      <c r="M7" s="5"/>
      <c r="N7" s="6" t="s">
        <v>8</v>
      </c>
      <c r="O7" s="5"/>
      <c r="P7" s="5"/>
      <c r="Q7" s="6" t="s">
        <v>10</v>
      </c>
      <c r="R7" s="132">
        <f>R6*U6*W6</f>
        <v>53.4375</v>
      </c>
      <c r="S7" s="5"/>
      <c r="T7" s="5"/>
      <c r="U7" s="5"/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253</v>
      </c>
      <c r="D8" s="5"/>
      <c r="E8" s="5"/>
      <c r="F8" s="50"/>
      <c r="G8" s="23">
        <v>950</v>
      </c>
      <c r="H8" s="133">
        <v>4.5</v>
      </c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1" t="s">
        <v>254</v>
      </c>
      <c r="D9" s="22"/>
      <c r="E9" s="22"/>
      <c r="F9" s="25"/>
      <c r="G9" s="24">
        <v>779</v>
      </c>
      <c r="H9" s="134">
        <v>4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O10" s="135" t="s">
        <v>144</v>
      </c>
      <c r="P10" t="s">
        <v>255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6" t="s">
        <v>256</v>
      </c>
      <c r="Q12" s="6" t="s">
        <v>10</v>
      </c>
      <c r="R12" s="5" t="s">
        <v>257</v>
      </c>
      <c r="S12" s="5"/>
      <c r="T12" s="6" t="s">
        <v>146</v>
      </c>
      <c r="U12" s="6" t="s">
        <v>250</v>
      </c>
      <c r="V12" s="6" t="s">
        <v>146</v>
      </c>
      <c r="W12" s="5" t="s">
        <v>258</v>
      </c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6" t="s">
        <v>10</v>
      </c>
      <c r="R13" s="45">
        <f>H9</f>
        <v>4</v>
      </c>
      <c r="S13" s="5"/>
      <c r="T13" s="6" t="s">
        <v>146</v>
      </c>
      <c r="U13" s="130">
        <v>1.2500000000000001E-2</v>
      </c>
      <c r="V13" s="6" t="s">
        <v>146</v>
      </c>
      <c r="W13" s="6">
        <f>G9</f>
        <v>779</v>
      </c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5"/>
      <c r="Q14" s="6" t="s">
        <v>10</v>
      </c>
      <c r="R14" s="136">
        <f>R13*U13*W13</f>
        <v>38.950000000000003</v>
      </c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3" t="s">
        <v>209</v>
      </c>
      <c r="P17" s="5" t="s">
        <v>259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6" t="s">
        <v>183</v>
      </c>
      <c r="Q19" s="6" t="s">
        <v>10</v>
      </c>
      <c r="R19" s="6" t="s">
        <v>8</v>
      </c>
      <c r="S19" s="6" t="s">
        <v>74</v>
      </c>
      <c r="T19" s="6" t="s">
        <v>11</v>
      </c>
      <c r="U19" s="6" t="s">
        <v>256</v>
      </c>
      <c r="V19" s="6" t="s">
        <v>8</v>
      </c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6" t="s">
        <v>10</v>
      </c>
      <c r="R20" s="6" t="s">
        <v>8</v>
      </c>
      <c r="S20" s="137">
        <f>R7</f>
        <v>53.4375</v>
      </c>
      <c r="T20" s="6" t="s">
        <v>11</v>
      </c>
      <c r="U20" s="137">
        <f>R14</f>
        <v>38.950000000000003</v>
      </c>
      <c r="V20" s="6" t="s">
        <v>8</v>
      </c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/>
      <c r="Q21" s="6" t="s">
        <v>10</v>
      </c>
      <c r="R21" s="138">
        <f>ABS(S20-U20)</f>
        <v>14.487499999999997</v>
      </c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17" t="s">
        <v>43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332</v>
      </c>
      <c r="N3" s="14" t="s">
        <v>8</v>
      </c>
      <c r="O3" s="36" t="s">
        <v>262</v>
      </c>
      <c r="P3" t="s">
        <v>263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248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5" t="s">
        <v>264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5" t="s">
        <v>265</v>
      </c>
      <c r="R6" s="5"/>
      <c r="S6" s="5"/>
      <c r="T6" s="5"/>
      <c r="U6" s="139" t="s">
        <v>33</v>
      </c>
      <c r="V6" s="5" t="s">
        <v>266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 t="s">
        <v>267</v>
      </c>
      <c r="D7" s="16"/>
      <c r="E7" s="16"/>
      <c r="F7" s="46"/>
      <c r="G7" s="131" t="s">
        <v>268</v>
      </c>
      <c r="H7" s="131" t="s">
        <v>269</v>
      </c>
      <c r="I7" s="5"/>
      <c r="J7" s="5"/>
      <c r="K7" s="5"/>
      <c r="L7" s="5"/>
      <c r="M7" s="5"/>
      <c r="N7" s="6" t="s">
        <v>8</v>
      </c>
      <c r="O7" s="5"/>
      <c r="P7" s="6" t="s">
        <v>10</v>
      </c>
      <c r="Q7" s="5">
        <f>SUMPRODUCT(G8:G13,H8:H13)</f>
        <v>49095</v>
      </c>
      <c r="R7" s="5"/>
      <c r="S7" s="5"/>
      <c r="T7" s="5"/>
      <c r="U7" s="139" t="s">
        <v>33</v>
      </c>
      <c r="V7" s="5">
        <f>G14</f>
        <v>6800</v>
      </c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270</v>
      </c>
      <c r="D8" s="5"/>
      <c r="E8" s="5"/>
      <c r="F8" s="50"/>
      <c r="G8" s="23">
        <v>1360</v>
      </c>
      <c r="H8" s="140">
        <v>3</v>
      </c>
      <c r="I8" s="5"/>
      <c r="J8" s="5"/>
      <c r="K8" s="5"/>
      <c r="L8" s="5"/>
      <c r="M8" s="5"/>
      <c r="N8" s="6" t="s">
        <v>8</v>
      </c>
      <c r="O8" s="5"/>
      <c r="P8" s="6" t="s">
        <v>10</v>
      </c>
      <c r="Q8" s="141">
        <f>Q7/V7</f>
        <v>7.2198529411764705</v>
      </c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271</v>
      </c>
      <c r="D9" s="5"/>
      <c r="E9" s="5"/>
      <c r="F9" s="50"/>
      <c r="G9" s="23">
        <v>1000</v>
      </c>
      <c r="H9" s="140">
        <v>7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272</v>
      </c>
      <c r="D10" s="5"/>
      <c r="E10" s="5"/>
      <c r="F10" s="50"/>
      <c r="G10" s="23">
        <v>950</v>
      </c>
      <c r="H10" s="140">
        <v>2</v>
      </c>
      <c r="I10" s="5"/>
      <c r="J10" s="5"/>
      <c r="K10" s="5"/>
      <c r="L10" s="5"/>
      <c r="M10" s="5"/>
      <c r="N10" s="6" t="s">
        <v>8</v>
      </c>
      <c r="O10" s="36" t="s">
        <v>262</v>
      </c>
      <c r="P10" t="s">
        <v>273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274</v>
      </c>
      <c r="D11" s="5"/>
      <c r="E11" s="5"/>
      <c r="F11" s="50"/>
      <c r="G11" s="23">
        <v>1220</v>
      </c>
      <c r="H11" s="140">
        <v>4.75</v>
      </c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275</v>
      </c>
      <c r="D12" s="5"/>
      <c r="E12" s="5"/>
      <c r="F12" s="50"/>
      <c r="G12" s="23">
        <v>1180</v>
      </c>
      <c r="H12" s="140">
        <v>22</v>
      </c>
      <c r="I12" s="5"/>
      <c r="J12" s="5"/>
      <c r="K12" s="5"/>
      <c r="L12" s="5"/>
      <c r="M12" s="5"/>
      <c r="N12" s="6" t="s">
        <v>8</v>
      </c>
      <c r="O12" s="5"/>
      <c r="P12" s="5" t="s">
        <v>276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277</v>
      </c>
      <c r="D13" s="22"/>
      <c r="E13" s="22"/>
      <c r="F13" s="25"/>
      <c r="G13" s="24">
        <v>1090</v>
      </c>
      <c r="H13" s="142">
        <v>4</v>
      </c>
      <c r="I13" s="5"/>
      <c r="J13" s="5"/>
      <c r="K13" s="5"/>
      <c r="L13" s="5"/>
      <c r="M13" s="5"/>
      <c r="N13" s="6" t="s">
        <v>8</v>
      </c>
      <c r="O13" s="5"/>
      <c r="P13" s="6" t="s">
        <v>10</v>
      </c>
      <c r="Q13" s="5" t="s">
        <v>265</v>
      </c>
      <c r="R13" s="5"/>
      <c r="S13" s="5"/>
      <c r="T13" s="5"/>
      <c r="U13" s="139" t="s">
        <v>33</v>
      </c>
      <c r="V13" s="5" t="s">
        <v>278</v>
      </c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1" t="s">
        <v>279</v>
      </c>
      <c r="D14" s="22"/>
      <c r="E14" s="22"/>
      <c r="F14" s="25"/>
      <c r="G14" s="25">
        <v>6800</v>
      </c>
      <c r="H14" s="143" t="s">
        <v>16</v>
      </c>
      <c r="I14" s="5"/>
      <c r="J14" s="5"/>
      <c r="K14" s="144"/>
      <c r="L14" s="144"/>
      <c r="M14" s="5"/>
      <c r="N14" s="6" t="s">
        <v>8</v>
      </c>
      <c r="O14" s="5"/>
      <c r="P14" s="6" t="s">
        <v>10</v>
      </c>
      <c r="Q14" s="5">
        <f>SUMPRODUCT(G17:G18,H17:H18)</f>
        <v>17411.5</v>
      </c>
      <c r="R14" s="5"/>
      <c r="S14" s="5"/>
      <c r="T14" s="5"/>
      <c r="U14" s="139" t="s">
        <v>33</v>
      </c>
      <c r="V14" s="5">
        <f>G19</f>
        <v>4462</v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6" t="s">
        <v>10</v>
      </c>
      <c r="Q15" s="141">
        <f>Q14/V14</f>
        <v>3.902173913043478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5" t="s">
        <v>280</v>
      </c>
      <c r="D16" s="16"/>
      <c r="E16" s="16"/>
      <c r="F16" s="46"/>
      <c r="G16" s="131" t="s">
        <v>268</v>
      </c>
      <c r="H16" s="131" t="s">
        <v>269</v>
      </c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281</v>
      </c>
      <c r="D17" s="5"/>
      <c r="E17" s="5"/>
      <c r="F17" s="50"/>
      <c r="G17" s="23">
        <v>3880</v>
      </c>
      <c r="H17" s="140">
        <v>4</v>
      </c>
      <c r="I17" s="5"/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282</v>
      </c>
      <c r="D18" s="22"/>
      <c r="E18" s="22"/>
      <c r="F18" s="25"/>
      <c r="G18" s="24">
        <v>582</v>
      </c>
      <c r="H18" s="142">
        <v>3.25</v>
      </c>
      <c r="I18" s="5"/>
      <c r="J18" s="5"/>
      <c r="K18" s="5"/>
      <c r="L18" s="5"/>
      <c r="M18" s="5"/>
      <c r="N18" s="6" t="s">
        <v>8</v>
      </c>
      <c r="O18" s="145" t="s">
        <v>283</v>
      </c>
      <c r="P18" t="s">
        <v>284</v>
      </c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279</v>
      </c>
      <c r="D19" s="22"/>
      <c r="E19" s="22"/>
      <c r="F19" s="25"/>
      <c r="G19" s="25">
        <v>4462</v>
      </c>
      <c r="H19" s="143" t="s">
        <v>16</v>
      </c>
      <c r="I19" s="5"/>
      <c r="J19" s="5"/>
      <c r="K19" s="144"/>
      <c r="L19" s="144"/>
      <c r="M19" s="5"/>
      <c r="N19" s="6" t="s">
        <v>8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6" t="s">
        <v>74</v>
      </c>
      <c r="Q20" s="6" t="s">
        <v>10</v>
      </c>
      <c r="R20" s="5" t="s">
        <v>249</v>
      </c>
      <c r="S20" s="5"/>
      <c r="T20" s="6" t="s">
        <v>146</v>
      </c>
      <c r="U20" s="6" t="s">
        <v>250</v>
      </c>
      <c r="V20" s="6" t="s">
        <v>146</v>
      </c>
      <c r="W20" s="5" t="s">
        <v>266</v>
      </c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144"/>
      <c r="M21" s="5"/>
      <c r="N21" s="6" t="s">
        <v>8</v>
      </c>
      <c r="O21" s="5"/>
      <c r="P21" s="5"/>
      <c r="Q21" s="6" t="s">
        <v>10</v>
      </c>
      <c r="R21" s="146">
        <f>Q8</f>
        <v>7.2198529411764705</v>
      </c>
      <c r="S21" s="5"/>
      <c r="T21" s="6" t="s">
        <v>146</v>
      </c>
      <c r="U21" s="130">
        <v>1.2500000000000001E-2</v>
      </c>
      <c r="V21" s="6" t="s">
        <v>146</v>
      </c>
      <c r="W21" s="6">
        <f>G14</f>
        <v>6800</v>
      </c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6" t="s">
        <v>10</v>
      </c>
      <c r="R22" s="136">
        <f>R21*U21*W21</f>
        <v>613.6875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145" t="s">
        <v>285</v>
      </c>
      <c r="P24" t="s">
        <v>284</v>
      </c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256</v>
      </c>
      <c r="Q26" s="6" t="s">
        <v>10</v>
      </c>
      <c r="R26" s="5" t="s">
        <v>257</v>
      </c>
      <c r="S26" s="5"/>
      <c r="T26" s="6" t="s">
        <v>146</v>
      </c>
      <c r="U26" s="6" t="s">
        <v>250</v>
      </c>
      <c r="V26" s="6" t="s">
        <v>146</v>
      </c>
      <c r="W26" s="5" t="s">
        <v>278</v>
      </c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6" t="s">
        <v>10</v>
      </c>
      <c r="R27" s="146">
        <f>Q15</f>
        <v>3.902173913043478</v>
      </c>
      <c r="S27" s="5"/>
      <c r="T27" s="6" t="s">
        <v>146</v>
      </c>
      <c r="U27" s="130">
        <v>1.2500000000000001E-2</v>
      </c>
      <c r="V27" s="6" t="s">
        <v>146</v>
      </c>
      <c r="W27" s="5">
        <f>G19</f>
        <v>4462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6" t="s">
        <v>10</v>
      </c>
      <c r="R28" s="136">
        <f>R27*U27*W27</f>
        <v>217.64375000000001</v>
      </c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43" t="s">
        <v>209</v>
      </c>
      <c r="P31" s="5" t="s">
        <v>259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6" t="s">
        <v>183</v>
      </c>
      <c r="Q33" s="6" t="s">
        <v>10</v>
      </c>
      <c r="R33" s="6" t="s">
        <v>8</v>
      </c>
      <c r="S33" s="6" t="s">
        <v>74</v>
      </c>
      <c r="T33" s="6" t="s">
        <v>11</v>
      </c>
      <c r="U33" s="6" t="s">
        <v>256</v>
      </c>
      <c r="V33" s="6" t="s">
        <v>8</v>
      </c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6" t="s">
        <v>10</v>
      </c>
      <c r="R34" s="6" t="s">
        <v>8</v>
      </c>
      <c r="S34" s="137">
        <f>R22</f>
        <v>613.6875</v>
      </c>
      <c r="T34" s="6" t="s">
        <v>11</v>
      </c>
      <c r="U34" s="137">
        <f>R28</f>
        <v>217.64375000000001</v>
      </c>
      <c r="V34" s="6" t="s">
        <v>8</v>
      </c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6" t="s">
        <v>10</v>
      </c>
      <c r="R35" s="138">
        <f>ABS(S34-U34)</f>
        <v>396.04374999999999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17" t="s">
        <v>43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2025-04-10T15:32:40Z</dcterms:modified>
</cp:coreProperties>
</file>