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hidePivotFieldList="1"/>
  <mc:AlternateContent xmlns:mc="http://schemas.openxmlformats.org/markup-compatibility/2006">
    <mc:Choice Requires="x15">
      <x15ac:absPath xmlns:x15ac="http://schemas.microsoft.com/office/spreadsheetml/2010/11/ac" url="D:\LIBRARY - Readings\6C - 2018 - 2\"/>
    </mc:Choice>
  </mc:AlternateContent>
  <xr:revisionPtr revIDLastSave="0" documentId="8_{57DB5BC6-43C0-425E-8BD5-D0A301AA436F}" xr6:coauthVersionLast="37" xr6:coauthVersionMax="37" xr10:uidLastSave="{00000000-0000-0000-0000-000000000000}"/>
  <bookViews>
    <workbookView xWindow="0" yWindow="0" windowWidth="19200" windowHeight="6360" activeTab="3" xr2:uid="{00000000-000D-0000-FFFF-FFFF00000000}"/>
  </bookViews>
  <sheets>
    <sheet name="GrossPremLiab" sheetId="1" r:id="rId1"/>
    <sheet name="GrossMisc" sheetId="2" r:id="rId2"/>
    <sheet name="NetPremLiab" sheetId="3" r:id="rId3"/>
    <sheet name="Opinion" sheetId="4" r:id="rId4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2048</definedName>
    <definedName name="_AtRisk_SimSetting_ReportOptionReportsFileType" hidden="1">1</definedName>
    <definedName name="_AtRisk_SimSetting_ReportOptionSelectiveQR" hidden="1">FALSE</definedName>
    <definedName name="_AtRisk_SimSetting_ReportsList" hidden="1">2048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Pal_Workbook_GUID" hidden="1">"SSTYDVQKF8AYQNVI2BGQEV96"</definedName>
    <definedName name="_xlnm.Print_Area" localSheetId="1">GrossMisc!$A$1:$AE$47</definedName>
    <definedName name="_xlnm.Print_Area" localSheetId="0">GrossPremLiab!$A$1:$AQ$43</definedName>
    <definedName name="_xlnm.Print_Area" localSheetId="2">NetPremLiab!$A$1:$AQ$43</definedName>
    <definedName name="_xlnm.Print_Area" localSheetId="3">Opinion!$B$2:$F$35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Z_020FDF89_1AED_46D2_96B6_2FF201CB5CDD_.wvu.PrintArea" localSheetId="1" hidden="1">GrossMisc!$A$1:$AE$47</definedName>
    <definedName name="Z_020FDF89_1AED_46D2_96B6_2FF201CB5CDD_.wvu.PrintArea" localSheetId="0" hidden="1">GrossPremLiab!$A$1:$AQ$43</definedName>
    <definedName name="Z_020FDF89_1AED_46D2_96B6_2FF201CB5CDD_.wvu.PrintArea" localSheetId="2" hidden="1">NetPremLiab!$A$1:$AQ$43</definedName>
    <definedName name="Z_020FDF89_1AED_46D2_96B6_2FF201CB5CDD_.wvu.PrintArea" localSheetId="3" hidden="1">Opinion!$B$2:$F$35</definedName>
    <definedName name="Z_1A2B400A_4A27_4699_A7C5_54ECA3456E42_.wvu.PrintArea" localSheetId="1" hidden="1">GrossMisc!$A$1:$AE$47</definedName>
    <definedName name="Z_1A2B400A_4A27_4699_A7C5_54ECA3456E42_.wvu.PrintArea" localSheetId="0" hidden="1">GrossPremLiab!$A$1:$AQ$43</definedName>
    <definedName name="Z_1A2B400A_4A27_4699_A7C5_54ECA3456E42_.wvu.PrintArea" localSheetId="2" hidden="1">NetPremLiab!$A$1:$AQ$43</definedName>
    <definedName name="Z_1A2B400A_4A27_4699_A7C5_54ECA3456E42_.wvu.PrintArea" localSheetId="3" hidden="1">Opinion!$B$2:$F$35</definedName>
    <definedName name="Z_1E3D3DC7_1899_4018_BCDC_6919FAD5C5D1_.wvu.PrintArea" localSheetId="1" hidden="1">GrossMisc!$A$1:$AE$47</definedName>
    <definedName name="Z_1E3D3DC7_1899_4018_BCDC_6919FAD5C5D1_.wvu.PrintArea" localSheetId="0" hidden="1">GrossPremLiab!$A$1:$AQ$43</definedName>
    <definedName name="Z_1E3D3DC7_1899_4018_BCDC_6919FAD5C5D1_.wvu.PrintArea" localSheetId="2" hidden="1">NetPremLiab!$A$1:$AQ$43</definedName>
    <definedName name="Z_1E3D3DC7_1899_4018_BCDC_6919FAD5C5D1_.wvu.PrintArea" localSheetId="3" hidden="1">Opinion!$B$2:$F$35</definedName>
  </definedNames>
  <calcPr calcId="162913"/>
  <customWorkbookViews>
    <customWorkbookView name="Diane Bradley - Personal View" guid="{020FDF89-1AED-46D2-96B6-2FF201CB5CDD}" mergeInterval="0" personalView="1" maximized="1" xWindow="-11" yWindow="-11" windowWidth="1942" windowHeight="1042" activeSheetId="4"/>
    <customWorkbookView name="Bonnie Robinson - Personal View" guid="{1A2B400A-4A27-4699-A7C5-54ECA3456E42}" mergeInterval="0" personalView="1" maximized="1" windowWidth="1465" windowHeight="730" activeSheetId="3" showComments="commIndAndComment"/>
    <customWorkbookView name="Josee Racette - Personal View" guid="{1E3D3DC7-1899-4018-BCDC-6919FAD5C5D1}" mergeInterval="0" personalView="1" maximized="1" windowWidth="1661" windowHeight="825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" l="1"/>
  <c r="S17" i="3" s="1"/>
  <c r="S18" i="1"/>
  <c r="S16" i="1"/>
  <c r="Q17" i="3"/>
  <c r="Q18" i="3"/>
  <c r="Q16" i="3"/>
  <c r="S18" i="3"/>
  <c r="S16" i="3"/>
  <c r="K9" i="3"/>
  <c r="AA15" i="2" l="1"/>
  <c r="AA16" i="2"/>
  <c r="AA17" i="2"/>
  <c r="AA18" i="2"/>
  <c r="AA19" i="2"/>
  <c r="O10" i="2" l="1"/>
  <c r="P10" i="2" s="1"/>
  <c r="Q10" i="2" s="1"/>
  <c r="R10" i="2" s="1"/>
  <c r="S10" i="2" s="1"/>
  <c r="T10" i="2" s="1"/>
  <c r="U10" i="2" s="1"/>
  <c r="V10" i="2" s="1"/>
  <c r="T15" i="2"/>
  <c r="U15" i="2" s="1"/>
  <c r="AK31" i="3"/>
  <c r="D10" i="3" l="1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T26" i="3" s="1"/>
  <c r="C27" i="3"/>
  <c r="C28" i="3"/>
  <c r="C29" i="3"/>
  <c r="C30" i="3"/>
  <c r="C10" i="3"/>
  <c r="T26" i="1"/>
  <c r="P26" i="1"/>
  <c r="AE26" i="1" s="1"/>
  <c r="E26" i="1"/>
  <c r="AI26" i="1" s="1"/>
  <c r="P26" i="3"/>
  <c r="AE26" i="3" s="1"/>
  <c r="H26" i="3"/>
  <c r="D8" i="1"/>
  <c r="D8" i="3"/>
  <c r="E26" i="3" l="1"/>
  <c r="G26" i="1"/>
  <c r="J26" i="1" s="1"/>
  <c r="G26" i="3" l="1"/>
  <c r="J26" i="3" s="1"/>
  <c r="AI26" i="3"/>
  <c r="I16" i="3"/>
  <c r="AN31" i="3"/>
  <c r="K11" i="1" l="1"/>
  <c r="N4" i="2"/>
  <c r="Y4" i="2" s="1"/>
  <c r="AE4" i="3"/>
  <c r="B4" i="3"/>
  <c r="AE4" i="1"/>
  <c r="B4" i="1"/>
  <c r="AL36" i="3"/>
  <c r="U40" i="3"/>
  <c r="P37" i="3"/>
  <c r="P39" i="3"/>
  <c r="P40" i="3"/>
  <c r="P42" i="3"/>
  <c r="K12" i="1" l="1"/>
  <c r="V28" i="2"/>
  <c r="V26" i="2"/>
  <c r="K13" i="1" l="1"/>
  <c r="K14" i="1" l="1"/>
  <c r="K15" i="1" l="1"/>
  <c r="K19" i="1" l="1"/>
  <c r="K20" i="1" l="1"/>
  <c r="K21" i="1" s="1"/>
  <c r="K22" i="1" l="1"/>
  <c r="K23" i="1" l="1"/>
  <c r="K24" i="1" l="1"/>
  <c r="K26" i="1" l="1"/>
  <c r="L26" i="1" s="1"/>
  <c r="L26" i="3" s="1"/>
  <c r="K25" i="1"/>
  <c r="M26" i="1" l="1"/>
  <c r="R26" i="1" s="1"/>
  <c r="U26" i="1" s="1"/>
  <c r="M26" i="3"/>
  <c r="R26" i="3" s="1"/>
  <c r="K27" i="1"/>
  <c r="W26" i="1" l="1"/>
  <c r="AA26" i="1"/>
  <c r="AB26" i="1" s="1"/>
  <c r="W26" i="3"/>
  <c r="U26" i="3"/>
  <c r="X26" i="3"/>
  <c r="Z26" i="3" s="1"/>
  <c r="K28" i="1"/>
  <c r="AA26" i="3" l="1"/>
  <c r="AB26" i="3" s="1"/>
  <c r="K29" i="1"/>
  <c r="K30" i="1" l="1"/>
  <c r="K31" i="1" l="1"/>
  <c r="AC1" i="3" l="1"/>
  <c r="AQ1" i="3" s="1"/>
  <c r="W1" i="2"/>
  <c r="AE1" i="2" s="1"/>
  <c r="AC1" i="1"/>
  <c r="AQ1" i="1" s="1"/>
  <c r="T29" i="3"/>
  <c r="P29" i="3"/>
  <c r="AE29" i="3" s="1"/>
  <c r="H29" i="3"/>
  <c r="E29" i="3"/>
  <c r="T29" i="1"/>
  <c r="P29" i="1"/>
  <c r="AE29" i="1" s="1"/>
  <c r="E29" i="1"/>
  <c r="AI29" i="1" s="1"/>
  <c r="D31" i="1"/>
  <c r="K30" i="2"/>
  <c r="F15" i="2"/>
  <c r="F16" i="2"/>
  <c r="F17" i="2"/>
  <c r="F18" i="2"/>
  <c r="F19" i="2"/>
  <c r="AD26" i="2"/>
  <c r="AD30" i="2" s="1"/>
  <c r="AF10" i="1" s="1"/>
  <c r="AI29" i="3" l="1"/>
  <c r="G29" i="3"/>
  <c r="J29" i="3" s="1"/>
  <c r="G29" i="1"/>
  <c r="J29" i="1" l="1"/>
  <c r="L29" i="1" s="1"/>
  <c r="M29" i="1" s="1"/>
  <c r="L29" i="3" l="1"/>
  <c r="R29" i="1"/>
  <c r="U29" i="1" s="1"/>
  <c r="Z15" i="2"/>
  <c r="Z16" i="2"/>
  <c r="Z17" i="2"/>
  <c r="Z18" i="2"/>
  <c r="AB18" i="2" s="1"/>
  <c r="Z19" i="2"/>
  <c r="AB19" i="2" s="1"/>
  <c r="Q15" i="2"/>
  <c r="N16" i="2"/>
  <c r="N17" i="2" s="1"/>
  <c r="N18" i="2" s="1"/>
  <c r="N19" i="2" s="1"/>
  <c r="N20" i="2" s="1"/>
  <c r="N21" i="2" s="1"/>
  <c r="N22" i="2" s="1"/>
  <c r="O16" i="2"/>
  <c r="Q16" i="2"/>
  <c r="V16" i="2" s="1"/>
  <c r="O17" i="2"/>
  <c r="Q17" i="2"/>
  <c r="Q18" i="2"/>
  <c r="Q19" i="2"/>
  <c r="Q20" i="2"/>
  <c r="Q21" i="2"/>
  <c r="Q22" i="2"/>
  <c r="S26" i="2"/>
  <c r="S28" i="2"/>
  <c r="D16" i="4"/>
  <c r="V16" i="3"/>
  <c r="P31" i="3"/>
  <c r="AE31" i="3" s="1"/>
  <c r="F31" i="3"/>
  <c r="D31" i="3"/>
  <c r="C31" i="3"/>
  <c r="P30" i="3"/>
  <c r="AE30" i="3" s="1"/>
  <c r="H30" i="3"/>
  <c r="E30" i="3"/>
  <c r="P28" i="3"/>
  <c r="AE28" i="3" s="1"/>
  <c r="H28" i="3"/>
  <c r="E28" i="3"/>
  <c r="P27" i="3"/>
  <c r="AE27" i="3" s="1"/>
  <c r="H27" i="3"/>
  <c r="E27" i="3"/>
  <c r="P25" i="3"/>
  <c r="AE25" i="3" s="1"/>
  <c r="E25" i="3"/>
  <c r="P24" i="3"/>
  <c r="AE24" i="3" s="1"/>
  <c r="H24" i="3"/>
  <c r="E24" i="3"/>
  <c r="P23" i="3"/>
  <c r="AE23" i="3" s="1"/>
  <c r="H23" i="3"/>
  <c r="E23" i="3"/>
  <c r="P22" i="3"/>
  <c r="AE22" i="3" s="1"/>
  <c r="H22" i="3"/>
  <c r="E22" i="3"/>
  <c r="P21" i="3"/>
  <c r="AE21" i="3" s="1"/>
  <c r="H21" i="3"/>
  <c r="E21" i="3"/>
  <c r="P20" i="3"/>
  <c r="AE20" i="3" s="1"/>
  <c r="H20" i="3"/>
  <c r="E20" i="3"/>
  <c r="P19" i="3"/>
  <c r="AE19" i="3" s="1"/>
  <c r="H19" i="3"/>
  <c r="E19" i="3"/>
  <c r="P18" i="3"/>
  <c r="AE18" i="3" s="1"/>
  <c r="H18" i="3"/>
  <c r="E18" i="3"/>
  <c r="P17" i="3"/>
  <c r="AE17" i="3" s="1"/>
  <c r="H17" i="3"/>
  <c r="E17" i="3"/>
  <c r="G17" i="3" s="1"/>
  <c r="P16" i="3"/>
  <c r="AE16" i="3" s="1"/>
  <c r="H16" i="3"/>
  <c r="E16" i="3"/>
  <c r="G16" i="3" s="1"/>
  <c r="P15" i="3"/>
  <c r="AE15" i="3" s="1"/>
  <c r="E15" i="3"/>
  <c r="P14" i="3"/>
  <c r="AE14" i="3" s="1"/>
  <c r="E14" i="3"/>
  <c r="P13" i="3"/>
  <c r="AE13" i="3" s="1"/>
  <c r="E13" i="3"/>
  <c r="P12" i="3"/>
  <c r="AE12" i="3" s="1"/>
  <c r="H12" i="3"/>
  <c r="E12" i="3"/>
  <c r="P11" i="3"/>
  <c r="AE11" i="3" s="1"/>
  <c r="H11" i="3"/>
  <c r="E11" i="3"/>
  <c r="AF10" i="3"/>
  <c r="AF11" i="3" s="1"/>
  <c r="AF12" i="3" s="1"/>
  <c r="AF13" i="3" s="1"/>
  <c r="AF14" i="3" s="1"/>
  <c r="AF15" i="3" s="1"/>
  <c r="AF16" i="3" s="1"/>
  <c r="P10" i="3"/>
  <c r="AE10" i="3" s="1"/>
  <c r="E10" i="3"/>
  <c r="E8" i="3"/>
  <c r="F8" i="3" s="1"/>
  <c r="G8" i="3" s="1"/>
  <c r="H8" i="3" s="1"/>
  <c r="I8" i="3" s="1"/>
  <c r="J8" i="3" s="1"/>
  <c r="K8" i="3" s="1"/>
  <c r="L8" i="3" s="1"/>
  <c r="M8" i="3" s="1"/>
  <c r="AE3" i="3"/>
  <c r="B3" i="3"/>
  <c r="B3" i="1"/>
  <c r="AE3" i="1"/>
  <c r="P31" i="1"/>
  <c r="AE31" i="1" s="1"/>
  <c r="C31" i="1"/>
  <c r="P30" i="1"/>
  <c r="AE30" i="1" s="1"/>
  <c r="E30" i="1"/>
  <c r="AI30" i="1" s="1"/>
  <c r="P28" i="1"/>
  <c r="AE28" i="1" s="1"/>
  <c r="E28" i="1"/>
  <c r="AI28" i="1" s="1"/>
  <c r="P27" i="1"/>
  <c r="AE27" i="1" s="1"/>
  <c r="E27" i="1"/>
  <c r="AI27" i="1" s="1"/>
  <c r="P25" i="1"/>
  <c r="AE25" i="1" s="1"/>
  <c r="E25" i="1"/>
  <c r="AI25" i="1" s="1"/>
  <c r="P24" i="1"/>
  <c r="AE24" i="1" s="1"/>
  <c r="E24" i="1"/>
  <c r="AI24" i="1" s="1"/>
  <c r="P23" i="1"/>
  <c r="AE23" i="1" s="1"/>
  <c r="E23" i="1"/>
  <c r="G23" i="1" s="1"/>
  <c r="P22" i="1"/>
  <c r="AE22" i="1" s="1"/>
  <c r="E22" i="1"/>
  <c r="AI22" i="1" s="1"/>
  <c r="P21" i="1"/>
  <c r="AE21" i="1" s="1"/>
  <c r="E21" i="1"/>
  <c r="G21" i="1" s="1"/>
  <c r="P20" i="1"/>
  <c r="AE20" i="1" s="1"/>
  <c r="E20" i="1"/>
  <c r="P19" i="1"/>
  <c r="AE19" i="1" s="1"/>
  <c r="E19" i="1"/>
  <c r="AI19" i="1" s="1"/>
  <c r="P18" i="1"/>
  <c r="AE18" i="1" s="1"/>
  <c r="E18" i="1"/>
  <c r="G18" i="1" s="1"/>
  <c r="P17" i="1"/>
  <c r="AE17" i="1" s="1"/>
  <c r="E17" i="1"/>
  <c r="G17" i="1" s="1"/>
  <c r="P16" i="1"/>
  <c r="AE16" i="1" s="1"/>
  <c r="E16" i="1"/>
  <c r="P15" i="1"/>
  <c r="AE15" i="1" s="1"/>
  <c r="E15" i="1"/>
  <c r="AI15" i="1" s="1"/>
  <c r="P14" i="1"/>
  <c r="AE14" i="1" s="1"/>
  <c r="E14" i="1"/>
  <c r="G14" i="1" s="1"/>
  <c r="P13" i="1"/>
  <c r="AE13" i="1" s="1"/>
  <c r="E13" i="1"/>
  <c r="G13" i="1" s="1"/>
  <c r="P12" i="1"/>
  <c r="AE12" i="1" s="1"/>
  <c r="E12" i="1"/>
  <c r="G12" i="1" s="1"/>
  <c r="P11" i="1"/>
  <c r="AE11" i="1" s="1"/>
  <c r="E11" i="1"/>
  <c r="AF11" i="1"/>
  <c r="AF12" i="1" s="1"/>
  <c r="AF13" i="1" s="1"/>
  <c r="AF14" i="1" s="1"/>
  <c r="AF15" i="1" s="1"/>
  <c r="AF16" i="1" s="1"/>
  <c r="AF17" i="1" s="1"/>
  <c r="AF18" i="1" s="1"/>
  <c r="AF19" i="1" s="1"/>
  <c r="AF20" i="1" s="1"/>
  <c r="P10" i="1"/>
  <c r="AE10" i="1" s="1"/>
  <c r="I10" i="1"/>
  <c r="E10" i="1"/>
  <c r="E8" i="1"/>
  <c r="F8" i="1" s="1"/>
  <c r="G8" i="1" s="1"/>
  <c r="H8" i="1" s="1"/>
  <c r="I8" i="1" s="1"/>
  <c r="J8" i="1" s="1"/>
  <c r="K8" i="1" s="1"/>
  <c r="L8" i="1" s="1"/>
  <c r="M8" i="1" s="1"/>
  <c r="AB15" i="2" l="1"/>
  <c r="Z20" i="2"/>
  <c r="S15" i="2"/>
  <c r="V15" i="2"/>
  <c r="V17" i="2"/>
  <c r="AD22" i="2"/>
  <c r="G12" i="3"/>
  <c r="J12" i="3" s="1"/>
  <c r="G13" i="3"/>
  <c r="J13" i="3" s="1"/>
  <c r="G15" i="3"/>
  <c r="J15" i="3" s="1"/>
  <c r="G27" i="3"/>
  <c r="J27" i="3" s="1"/>
  <c r="G28" i="3"/>
  <c r="J28" i="3" s="1"/>
  <c r="G11" i="3"/>
  <c r="J11" i="3" s="1"/>
  <c r="G14" i="3"/>
  <c r="J14" i="3" s="1"/>
  <c r="G19" i="3"/>
  <c r="J19" i="3" s="1"/>
  <c r="G20" i="3"/>
  <c r="G21" i="3"/>
  <c r="J21" i="3" s="1"/>
  <c r="G22" i="3"/>
  <c r="J22" i="3" s="1"/>
  <c r="G23" i="3"/>
  <c r="J23" i="3" s="1"/>
  <c r="G24" i="3"/>
  <c r="J24" i="3" s="1"/>
  <c r="AI25" i="3"/>
  <c r="J14" i="1"/>
  <c r="L14" i="1" s="1"/>
  <c r="J16" i="3"/>
  <c r="J23" i="1"/>
  <c r="L23" i="1" s="1"/>
  <c r="M23" i="1" s="1"/>
  <c r="J12" i="1"/>
  <c r="L12" i="1" s="1"/>
  <c r="Q8" i="3"/>
  <c r="R8" i="3" s="1"/>
  <c r="J20" i="3"/>
  <c r="J13" i="1"/>
  <c r="L13" i="1" s="1"/>
  <c r="J21" i="1"/>
  <c r="L21" i="1" s="1"/>
  <c r="M29" i="3"/>
  <c r="R29" i="3" s="1"/>
  <c r="W29" i="1"/>
  <c r="AA29" i="1" s="1"/>
  <c r="AB29" i="1" s="1"/>
  <c r="Q8" i="1"/>
  <c r="R8" i="1" s="1"/>
  <c r="S17" i="2"/>
  <c r="S16" i="2"/>
  <c r="AD15" i="2"/>
  <c r="O18" i="2"/>
  <c r="S18" i="2" s="1"/>
  <c r="AD18" i="2"/>
  <c r="G11" i="1"/>
  <c r="E31" i="1"/>
  <c r="D10" i="4" s="1"/>
  <c r="AC20" i="2"/>
  <c r="AD19" i="2"/>
  <c r="AB17" i="2"/>
  <c r="AD17" i="2" s="1"/>
  <c r="AB16" i="2"/>
  <c r="AD16" i="2" s="1"/>
  <c r="V17" i="1"/>
  <c r="V17" i="3" s="1"/>
  <c r="AI27" i="3"/>
  <c r="G25" i="3"/>
  <c r="J25" i="3" s="1"/>
  <c r="G16" i="1"/>
  <c r="AI24" i="3"/>
  <c r="AI20" i="1"/>
  <c r="G20" i="1"/>
  <c r="AI10" i="3"/>
  <c r="E31" i="3"/>
  <c r="G10" i="3"/>
  <c r="J10" i="3" s="1"/>
  <c r="AI30" i="3"/>
  <c r="G30" i="3"/>
  <c r="J30" i="3" s="1"/>
  <c r="AI18" i="3"/>
  <c r="G18" i="3"/>
  <c r="G30" i="1"/>
  <c r="L14" i="3"/>
  <c r="M14" i="3" s="1"/>
  <c r="AI10" i="1"/>
  <c r="G10" i="1"/>
  <c r="I17" i="1"/>
  <c r="G24" i="1"/>
  <c r="AI14" i="1"/>
  <c r="G28" i="1"/>
  <c r="G19" i="1"/>
  <c r="G15" i="1"/>
  <c r="AI28" i="3"/>
  <c r="G27" i="1"/>
  <c r="G22" i="1"/>
  <c r="L12" i="3"/>
  <c r="G25" i="1"/>
  <c r="AG10" i="3"/>
  <c r="AG10" i="1"/>
  <c r="AG16" i="3"/>
  <c r="AF17" i="3"/>
  <c r="AF18" i="3" s="1"/>
  <c r="AI12" i="3"/>
  <c r="AG12" i="3"/>
  <c r="H31" i="3"/>
  <c r="AI13" i="3"/>
  <c r="AG13" i="3"/>
  <c r="AI14" i="3"/>
  <c r="AG14" i="3"/>
  <c r="AI11" i="3"/>
  <c r="AG11" i="3"/>
  <c r="AI15" i="3"/>
  <c r="AG15" i="3"/>
  <c r="AI22" i="3"/>
  <c r="AI21" i="3"/>
  <c r="AI19" i="3"/>
  <c r="AI20" i="3"/>
  <c r="AI16" i="3"/>
  <c r="AI23" i="3"/>
  <c r="AI17" i="3"/>
  <c r="AG12" i="1"/>
  <c r="AI12" i="1"/>
  <c r="AF21" i="1"/>
  <c r="AF22" i="1" s="1"/>
  <c r="AG20" i="1"/>
  <c r="AG14" i="1"/>
  <c r="AG13" i="1"/>
  <c r="AI11" i="1"/>
  <c r="AG11" i="1"/>
  <c r="AI13" i="1"/>
  <c r="AI16" i="1"/>
  <c r="AG16" i="1"/>
  <c r="AG15" i="1"/>
  <c r="AG18" i="1"/>
  <c r="AI21" i="1"/>
  <c r="AI17" i="1"/>
  <c r="AG17" i="1"/>
  <c r="AI18" i="1"/>
  <c r="AG19" i="1"/>
  <c r="AI23" i="1"/>
  <c r="M12" i="3" l="1"/>
  <c r="O19" i="2"/>
  <c r="V18" i="2"/>
  <c r="M13" i="1"/>
  <c r="L23" i="3"/>
  <c r="M23" i="3" s="1"/>
  <c r="M21" i="1"/>
  <c r="J27" i="1"/>
  <c r="L27" i="1" s="1"/>
  <c r="L27" i="3" s="1"/>
  <c r="M27" i="3" s="1"/>
  <c r="J30" i="1"/>
  <c r="L30" i="1" s="1"/>
  <c r="L30" i="3" s="1"/>
  <c r="M30" i="3" s="1"/>
  <c r="J25" i="1"/>
  <c r="L25" i="1" s="1"/>
  <c r="L25" i="3" s="1"/>
  <c r="M25" i="3" s="1"/>
  <c r="J28" i="1"/>
  <c r="L28" i="1" s="1"/>
  <c r="L28" i="3" s="1"/>
  <c r="M28" i="3" s="1"/>
  <c r="J10" i="1"/>
  <c r="L10" i="1" s="1"/>
  <c r="L21" i="3"/>
  <c r="M21" i="3" s="1"/>
  <c r="J17" i="1"/>
  <c r="J19" i="1"/>
  <c r="L19" i="1" s="1"/>
  <c r="L19" i="3" s="1"/>
  <c r="M19" i="3" s="1"/>
  <c r="J20" i="1"/>
  <c r="L20" i="1" s="1"/>
  <c r="L13" i="3"/>
  <c r="M13" i="3" s="1"/>
  <c r="J11" i="1"/>
  <c r="L11" i="1" s="1"/>
  <c r="L11" i="3" s="1"/>
  <c r="M11" i="3" s="1"/>
  <c r="U29" i="3"/>
  <c r="W29" i="3"/>
  <c r="J22" i="1"/>
  <c r="L22" i="1" s="1"/>
  <c r="J15" i="1"/>
  <c r="L15" i="1" s="1"/>
  <c r="L15" i="3" s="1"/>
  <c r="M15" i="3" s="1"/>
  <c r="J24" i="1"/>
  <c r="L24" i="1" s="1"/>
  <c r="J16" i="1"/>
  <c r="L16" i="1" s="1"/>
  <c r="X29" i="3"/>
  <c r="Z29" i="3" s="1"/>
  <c r="M12" i="1"/>
  <c r="M14" i="1"/>
  <c r="S8" i="3"/>
  <c r="T8" i="3" s="1"/>
  <c r="U8" i="3" s="1"/>
  <c r="V8" i="3" s="1"/>
  <c r="W8" i="3" s="1"/>
  <c r="X8" i="3" s="1"/>
  <c r="Y8" i="3" s="1"/>
  <c r="Z8" i="3" s="1"/>
  <c r="AA8" i="3" s="1"/>
  <c r="AB8" i="3" s="1"/>
  <c r="AF8" i="3" s="1"/>
  <c r="AG8" i="3" s="1"/>
  <c r="AH8" i="3" s="1"/>
  <c r="AI8" i="3" s="1"/>
  <c r="AJ8" i="3" s="1"/>
  <c r="AK8" i="3" s="1"/>
  <c r="AL8" i="3" s="1"/>
  <c r="AM8" i="3" s="1"/>
  <c r="AN8" i="3" s="1"/>
  <c r="AO8" i="3" s="1"/>
  <c r="AP8" i="3" s="1"/>
  <c r="S8" i="1"/>
  <c r="T8" i="1" s="1"/>
  <c r="U8" i="1" s="1"/>
  <c r="V8" i="1" s="1"/>
  <c r="W8" i="1" s="1"/>
  <c r="X8" i="1" s="1"/>
  <c r="Y8" i="1" s="1"/>
  <c r="Z8" i="1" s="1"/>
  <c r="AA8" i="1" s="1"/>
  <c r="AB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G31" i="3"/>
  <c r="D11" i="4" s="1"/>
  <c r="I17" i="3"/>
  <c r="AB20" i="2"/>
  <c r="AD20" i="2" s="1"/>
  <c r="V18" i="1"/>
  <c r="V18" i="3" s="1"/>
  <c r="O20" i="2"/>
  <c r="V20" i="2" s="1"/>
  <c r="G31" i="1"/>
  <c r="AI31" i="3"/>
  <c r="AH31" i="3" s="1"/>
  <c r="L22" i="3"/>
  <c r="M22" i="3" s="1"/>
  <c r="L20" i="3"/>
  <c r="M20" i="3" s="1"/>
  <c r="I18" i="1"/>
  <c r="AG18" i="3"/>
  <c r="AF19" i="3"/>
  <c r="AG17" i="3"/>
  <c r="AG21" i="1"/>
  <c r="AF23" i="1"/>
  <c r="AG22" i="1"/>
  <c r="AI31" i="1"/>
  <c r="AH31" i="1" s="1"/>
  <c r="L17" i="1" l="1"/>
  <c r="L17" i="3" s="1"/>
  <c r="V19" i="2"/>
  <c r="S19" i="2"/>
  <c r="AA29" i="3"/>
  <c r="AB29" i="3" s="1"/>
  <c r="M16" i="1"/>
  <c r="M24" i="1"/>
  <c r="M22" i="1"/>
  <c r="M15" i="1"/>
  <c r="L16" i="3"/>
  <c r="M16" i="3" s="1"/>
  <c r="M10" i="1"/>
  <c r="M11" i="1"/>
  <c r="M20" i="1"/>
  <c r="M28" i="1"/>
  <c r="M30" i="1"/>
  <c r="J18" i="1"/>
  <c r="L24" i="3"/>
  <c r="M24" i="3" s="1"/>
  <c r="I18" i="3"/>
  <c r="J18" i="3" s="1"/>
  <c r="J17" i="3"/>
  <c r="M19" i="1"/>
  <c r="L10" i="3"/>
  <c r="M10" i="3" s="1"/>
  <c r="M25" i="1"/>
  <c r="M27" i="1"/>
  <c r="I31" i="1"/>
  <c r="I31" i="3"/>
  <c r="S20" i="2"/>
  <c r="O21" i="2"/>
  <c r="V21" i="2" s="1"/>
  <c r="AF20" i="3"/>
  <c r="AG19" i="3"/>
  <c r="AF24" i="1"/>
  <c r="AF26" i="1" s="1"/>
  <c r="AG26" i="1" s="1"/>
  <c r="AJ26" i="1" s="1"/>
  <c r="AG23" i="1"/>
  <c r="M17" i="3" l="1"/>
  <c r="J31" i="1"/>
  <c r="L18" i="1"/>
  <c r="M18" i="1" s="1"/>
  <c r="M17" i="1"/>
  <c r="J31" i="3"/>
  <c r="S21" i="2"/>
  <c r="O22" i="2"/>
  <c r="V22" i="2" s="1"/>
  <c r="V24" i="2" s="1"/>
  <c r="V30" i="2" s="1"/>
  <c r="S10" i="1" s="1"/>
  <c r="AF21" i="3"/>
  <c r="AG20" i="3"/>
  <c r="AF25" i="1"/>
  <c r="AG24" i="1"/>
  <c r="R12" i="1"/>
  <c r="R11" i="1"/>
  <c r="L31" i="1" l="1"/>
  <c r="L18" i="3"/>
  <c r="M18" i="3" s="1"/>
  <c r="S22" i="2"/>
  <c r="S24" i="2" s="1"/>
  <c r="S30" i="2" s="1"/>
  <c r="Q10" i="1" s="1"/>
  <c r="R10" i="1" s="1"/>
  <c r="W10" i="1" s="1"/>
  <c r="AF22" i="3"/>
  <c r="AG21" i="3"/>
  <c r="W11" i="1"/>
  <c r="W12" i="1"/>
  <c r="AF27" i="1"/>
  <c r="AF29" i="1" s="1"/>
  <c r="AG29" i="1" s="1"/>
  <c r="AJ29" i="1" s="1"/>
  <c r="AG25" i="1"/>
  <c r="L31" i="3" l="1"/>
  <c r="AF23" i="3"/>
  <c r="AG22" i="3"/>
  <c r="AF28" i="1"/>
  <c r="AG27" i="1"/>
  <c r="AF24" i="3" l="1"/>
  <c r="AF26" i="3" s="1"/>
  <c r="AG26" i="3" s="1"/>
  <c r="AJ26" i="3" s="1"/>
  <c r="AG23" i="3"/>
  <c r="AG28" i="1"/>
  <c r="AF30" i="1"/>
  <c r="T10" i="1" l="1"/>
  <c r="U10" i="1" s="1"/>
  <c r="AA10" i="1" s="1"/>
  <c r="AB10" i="1" s="1"/>
  <c r="AJ10" i="1" s="1"/>
  <c r="AF25" i="3"/>
  <c r="AG24" i="3"/>
  <c r="AG30" i="1"/>
  <c r="AF27" i="3" l="1"/>
  <c r="AF29" i="3" s="1"/>
  <c r="AG29" i="3" s="1"/>
  <c r="AJ29" i="3" s="1"/>
  <c r="AG25" i="3"/>
  <c r="AG31" i="1" l="1"/>
  <c r="AF31" i="1" s="1"/>
  <c r="AF28" i="3"/>
  <c r="AG27" i="3"/>
  <c r="AF30" i="3" l="1"/>
  <c r="AG28" i="3"/>
  <c r="AG30" i="3" l="1"/>
  <c r="R10" i="3" l="1"/>
  <c r="X10" i="3" s="1"/>
  <c r="R12" i="3"/>
  <c r="R19" i="3"/>
  <c r="W19" i="3" s="1"/>
  <c r="R21" i="3"/>
  <c r="W21" i="3" s="1"/>
  <c r="R22" i="3"/>
  <c r="R20" i="3"/>
  <c r="W20" i="3" s="1"/>
  <c r="R11" i="3"/>
  <c r="T10" i="3"/>
  <c r="T12" i="3"/>
  <c r="T14" i="3"/>
  <c r="T20" i="3"/>
  <c r="T11" i="3"/>
  <c r="T13" i="3"/>
  <c r="T15" i="3"/>
  <c r="T19" i="3"/>
  <c r="T21" i="3"/>
  <c r="R13" i="1"/>
  <c r="W13" i="1" s="1"/>
  <c r="R15" i="1"/>
  <c r="W15" i="1" s="1"/>
  <c r="R19" i="1"/>
  <c r="R21" i="1"/>
  <c r="R14" i="1"/>
  <c r="W14" i="1" s="1"/>
  <c r="R20" i="1"/>
  <c r="T12" i="1"/>
  <c r="U12" i="1" s="1"/>
  <c r="AA12" i="1" s="1"/>
  <c r="AB12" i="1" s="1"/>
  <c r="AJ12" i="1" s="1"/>
  <c r="T14" i="1"/>
  <c r="T20" i="1"/>
  <c r="T22" i="1"/>
  <c r="T11" i="1"/>
  <c r="U11" i="1" s="1"/>
  <c r="AA11" i="1" s="1"/>
  <c r="AB11" i="1" s="1"/>
  <c r="AJ11" i="1" s="1"/>
  <c r="T13" i="1"/>
  <c r="T15" i="1"/>
  <c r="T19" i="1"/>
  <c r="T21" i="1"/>
  <c r="R22" i="1"/>
  <c r="W22" i="1" s="1"/>
  <c r="AG31" i="3"/>
  <c r="AF31" i="3" s="1"/>
  <c r="T22" i="3"/>
  <c r="U10" i="3" l="1"/>
  <c r="W10" i="3"/>
  <c r="U21" i="1"/>
  <c r="U13" i="1"/>
  <c r="AA13" i="1" s="1"/>
  <c r="AB13" i="1" s="1"/>
  <c r="AJ13" i="1" s="1"/>
  <c r="U11" i="3"/>
  <c r="U19" i="3"/>
  <c r="U12" i="3"/>
  <c r="U21" i="3"/>
  <c r="U20" i="3"/>
  <c r="X12" i="3"/>
  <c r="Z12" i="3" s="1"/>
  <c r="W12" i="3"/>
  <c r="X11" i="3"/>
  <c r="Z11" i="3" s="1"/>
  <c r="W11" i="3"/>
  <c r="T16" i="1"/>
  <c r="W21" i="1"/>
  <c r="X21" i="3"/>
  <c r="Z21" i="3" s="1"/>
  <c r="W20" i="1"/>
  <c r="X20" i="3"/>
  <c r="Z20" i="3" s="1"/>
  <c r="T17" i="1"/>
  <c r="U19" i="1"/>
  <c r="T18" i="1"/>
  <c r="W19" i="1"/>
  <c r="X19" i="3"/>
  <c r="Z19" i="3" s="1"/>
  <c r="U20" i="1"/>
  <c r="U15" i="1"/>
  <c r="AA15" i="1" s="1"/>
  <c r="AB15" i="1" s="1"/>
  <c r="AJ15" i="1" s="1"/>
  <c r="U14" i="1"/>
  <c r="AA14" i="1" s="1"/>
  <c r="AB14" i="1" s="1"/>
  <c r="AJ14" i="1" s="1"/>
  <c r="X22" i="3"/>
  <c r="Z22" i="3" s="1"/>
  <c r="U22" i="1"/>
  <c r="AA22" i="1" s="1"/>
  <c r="AB22" i="1" s="1"/>
  <c r="AJ22" i="1" s="1"/>
  <c r="R23" i="1"/>
  <c r="W23" i="1" s="1"/>
  <c r="Z10" i="3"/>
  <c r="U22" i="3"/>
  <c r="R23" i="3"/>
  <c r="T23" i="3"/>
  <c r="W22" i="3"/>
  <c r="T23" i="1"/>
  <c r="R14" i="3" l="1"/>
  <c r="R15" i="3"/>
  <c r="R13" i="3"/>
  <c r="AA21" i="1"/>
  <c r="AB21" i="1" s="1"/>
  <c r="AJ21" i="1" s="1"/>
  <c r="AA20" i="3"/>
  <c r="AB20" i="3" s="1"/>
  <c r="AJ20" i="3" s="1"/>
  <c r="AA20" i="1"/>
  <c r="AB20" i="1" s="1"/>
  <c r="AJ20" i="1" s="1"/>
  <c r="AA11" i="3"/>
  <c r="AB11" i="3" s="1"/>
  <c r="AJ11" i="3" s="1"/>
  <c r="AA19" i="3"/>
  <c r="AB19" i="3" s="1"/>
  <c r="AJ19" i="3" s="1"/>
  <c r="AA21" i="3"/>
  <c r="AB21" i="3" s="1"/>
  <c r="AJ21" i="3" s="1"/>
  <c r="AA12" i="3"/>
  <c r="AB12" i="3" s="1"/>
  <c r="AJ12" i="3" s="1"/>
  <c r="AA19" i="1"/>
  <c r="AB19" i="1" s="1"/>
  <c r="AJ19" i="1" s="1"/>
  <c r="T17" i="3"/>
  <c r="R17" i="3"/>
  <c r="R17" i="1"/>
  <c r="W17" i="1" s="1"/>
  <c r="T18" i="3"/>
  <c r="R18" i="3"/>
  <c r="T16" i="3"/>
  <c r="R16" i="3"/>
  <c r="R18" i="1"/>
  <c r="W18" i="1" s="1"/>
  <c r="R16" i="1"/>
  <c r="W16" i="1" s="1"/>
  <c r="U23" i="1"/>
  <c r="AA22" i="3"/>
  <c r="X23" i="3"/>
  <c r="Z23" i="3" s="1"/>
  <c r="T24" i="1"/>
  <c r="AA23" i="1"/>
  <c r="AB23" i="1" s="1"/>
  <c r="AJ23" i="1" s="1"/>
  <c r="AA10" i="3"/>
  <c r="AB10" i="3" s="1"/>
  <c r="AJ10" i="3" s="1"/>
  <c r="R24" i="1"/>
  <c r="R24" i="3"/>
  <c r="T24" i="3"/>
  <c r="W23" i="3"/>
  <c r="U23" i="3"/>
  <c r="W13" i="3" l="1"/>
  <c r="U13" i="3"/>
  <c r="X13" i="3"/>
  <c r="Z13" i="3" s="1"/>
  <c r="W15" i="3"/>
  <c r="X15" i="3"/>
  <c r="Z15" i="3" s="1"/>
  <c r="U15" i="3"/>
  <c r="W14" i="3"/>
  <c r="U14" i="3"/>
  <c r="X14" i="3"/>
  <c r="Z14" i="3" s="1"/>
  <c r="U16" i="3"/>
  <c r="U17" i="3"/>
  <c r="U16" i="1"/>
  <c r="AA16" i="1" s="1"/>
  <c r="AB16" i="1" s="1"/>
  <c r="AJ16" i="1" s="1"/>
  <c r="X18" i="3"/>
  <c r="Z18" i="3" s="1"/>
  <c r="W18" i="3"/>
  <c r="U18" i="3"/>
  <c r="X17" i="3"/>
  <c r="Z17" i="3" s="1"/>
  <c r="W17" i="3"/>
  <c r="U18" i="1"/>
  <c r="AA18" i="1" s="1"/>
  <c r="AB18" i="1" s="1"/>
  <c r="AJ18" i="1" s="1"/>
  <c r="X16" i="3"/>
  <c r="Z16" i="3" s="1"/>
  <c r="W16" i="3"/>
  <c r="U17" i="1"/>
  <c r="AA17" i="1" s="1"/>
  <c r="AB17" i="1" s="1"/>
  <c r="AJ17" i="1" s="1"/>
  <c r="X24" i="3"/>
  <c r="Z24" i="3" s="1"/>
  <c r="U24" i="1"/>
  <c r="W24" i="1"/>
  <c r="AA23" i="3"/>
  <c r="AB23" i="3" s="1"/>
  <c r="AJ23" i="3" s="1"/>
  <c r="U24" i="3"/>
  <c r="AB22" i="3"/>
  <c r="AJ22" i="3" s="1"/>
  <c r="W24" i="3"/>
  <c r="AA13" i="3" l="1"/>
  <c r="AB13" i="3" s="1"/>
  <c r="AJ13" i="3" s="1"/>
  <c r="AA14" i="3"/>
  <c r="AB14" i="3" s="1"/>
  <c r="AJ14" i="3" s="1"/>
  <c r="AA15" i="3"/>
  <c r="AB15" i="3" s="1"/>
  <c r="AJ15" i="3" s="1"/>
  <c r="AA16" i="3"/>
  <c r="AB16" i="3" s="1"/>
  <c r="AJ16" i="3" s="1"/>
  <c r="AA17" i="3"/>
  <c r="AB17" i="3" s="1"/>
  <c r="AJ17" i="3" s="1"/>
  <c r="AA18" i="3"/>
  <c r="AB18" i="3" s="1"/>
  <c r="AJ18" i="3" s="1"/>
  <c r="R25" i="1"/>
  <c r="W25" i="1" s="1"/>
  <c r="AA24" i="3"/>
  <c r="AA24" i="1"/>
  <c r="AB24" i="1" s="1"/>
  <c r="AJ24" i="1" s="1"/>
  <c r="T27" i="1"/>
  <c r="T25" i="3"/>
  <c r="T25" i="1"/>
  <c r="R25" i="3"/>
  <c r="R27" i="1"/>
  <c r="W27" i="1" s="1"/>
  <c r="M31" i="1"/>
  <c r="R27" i="3"/>
  <c r="T27" i="3"/>
  <c r="U25" i="1" l="1"/>
  <c r="AA25" i="1" s="1"/>
  <c r="AB25" i="1" s="1"/>
  <c r="AJ25" i="1" s="1"/>
  <c r="U27" i="1"/>
  <c r="AA27" i="1" s="1"/>
  <c r="AB27" i="1" s="1"/>
  <c r="AJ27" i="1" s="1"/>
  <c r="U25" i="3"/>
  <c r="X25" i="3"/>
  <c r="W25" i="3"/>
  <c r="R28" i="1"/>
  <c r="W28" i="1" s="1"/>
  <c r="T28" i="1"/>
  <c r="X27" i="3"/>
  <c r="Z27" i="3" s="1"/>
  <c r="M31" i="3"/>
  <c r="AB24" i="3"/>
  <c r="AJ24" i="3" s="1"/>
  <c r="U27" i="3"/>
  <c r="W27" i="3"/>
  <c r="R28" i="3"/>
  <c r="T28" i="3"/>
  <c r="U28" i="1" l="1"/>
  <c r="AA28" i="1" s="1"/>
  <c r="AB28" i="1" s="1"/>
  <c r="AJ28" i="1" s="1"/>
  <c r="R30" i="1"/>
  <c r="W30" i="1" s="1"/>
  <c r="T30" i="1"/>
  <c r="AA27" i="3"/>
  <c r="AB27" i="3" s="1"/>
  <c r="AJ27" i="3" s="1"/>
  <c r="Z25" i="3"/>
  <c r="X28" i="3"/>
  <c r="Z28" i="3" s="1"/>
  <c r="U28" i="3"/>
  <c r="R30" i="3"/>
  <c r="W28" i="3"/>
  <c r="T30" i="3"/>
  <c r="X30" i="3" l="1"/>
  <c r="Z30" i="3" s="1"/>
  <c r="U30" i="1"/>
  <c r="AA30" i="1" s="1"/>
  <c r="AB30" i="1" s="1"/>
  <c r="AJ30" i="1" s="1"/>
  <c r="AA28" i="3"/>
  <c r="AB28" i="3" s="1"/>
  <c r="AJ28" i="3" s="1"/>
  <c r="AA25" i="3"/>
  <c r="AB25" i="3" s="1"/>
  <c r="AJ25" i="3" s="1"/>
  <c r="U30" i="3"/>
  <c r="W30" i="3"/>
  <c r="R31" i="1"/>
  <c r="Q31" i="1" s="1"/>
  <c r="T31" i="1"/>
  <c r="S31" i="1" s="1"/>
  <c r="W31" i="1" l="1"/>
  <c r="V31" i="1" s="1"/>
  <c r="U31" i="1"/>
  <c r="AA30" i="3"/>
  <c r="AB30" i="3" s="1"/>
  <c r="AJ30" i="3" s="1"/>
  <c r="AJ31" i="3" s="1"/>
  <c r="AA31" i="1"/>
  <c r="T31" i="3"/>
  <c r="S31" i="3" s="1"/>
  <c r="W31" i="3"/>
  <c r="R31" i="3"/>
  <c r="Q31" i="3" s="1"/>
  <c r="AB31" i="1" l="1"/>
  <c r="AJ31" i="1" s="1"/>
  <c r="X31" i="3"/>
  <c r="V31" i="3"/>
  <c r="U31" i="3"/>
  <c r="AL31" i="1" l="1"/>
  <c r="Z31" i="3"/>
  <c r="Y31" i="3" s="1"/>
  <c r="E8" i="4" l="1"/>
  <c r="AM31" i="1"/>
  <c r="AO31" i="1" s="1"/>
  <c r="AP31" i="1"/>
  <c r="AA31" i="3"/>
  <c r="AB31" i="3"/>
  <c r="AL31" i="3"/>
  <c r="E9" i="4" l="1"/>
  <c r="AM31" i="3" l="1"/>
  <c r="AO31" i="3" s="1"/>
  <c r="D14" i="4" s="1"/>
  <c r="AP31" i="3"/>
  <c r="E12" i="4" s="1"/>
  <c r="E15" i="4" l="1"/>
  <c r="D12" i="4"/>
  <c r="D19" i="2" l="1"/>
  <c r="C19" i="2"/>
  <c r="D18" i="2"/>
  <c r="C18" i="2"/>
  <c r="I17" i="2"/>
  <c r="I16" i="2" s="1"/>
  <c r="I15" i="2" s="1"/>
  <c r="D17" i="2"/>
  <c r="C17" i="2"/>
  <c r="D16" i="2"/>
  <c r="C16" i="2"/>
  <c r="H15" i="2"/>
  <c r="H16" i="2" s="1"/>
  <c r="D15" i="2"/>
  <c r="C15" i="2"/>
  <c r="E16" i="2" l="1"/>
  <c r="G16" i="2" s="1"/>
  <c r="E18" i="2"/>
  <c r="G18" i="2" s="1"/>
  <c r="C20" i="2"/>
  <c r="E19" i="2"/>
  <c r="G19" i="2" s="1"/>
  <c r="E17" i="2"/>
  <c r="G17" i="2" s="1"/>
  <c r="E15" i="2"/>
  <c r="G15" i="2" s="1"/>
  <c r="J16" i="2"/>
  <c r="H17" i="2"/>
  <c r="J15" i="2"/>
  <c r="D20" i="2"/>
  <c r="K16" i="2" l="1"/>
  <c r="E20" i="2"/>
  <c r="G20" i="2"/>
  <c r="K15" i="2"/>
  <c r="J17" i="2"/>
  <c r="K17" i="2" s="1"/>
  <c r="H18" i="2"/>
  <c r="J18" i="2" l="1"/>
  <c r="H19" i="2"/>
  <c r="J19" i="2" s="1"/>
  <c r="K19" i="2" s="1"/>
  <c r="H20" i="2" l="1"/>
  <c r="K22" i="2"/>
  <c r="K18" i="2"/>
  <c r="J20" i="2"/>
  <c r="K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Bonnie Robinson</author>
  </authors>
  <commentList>
    <comment ref="AO38" authorId="0" guid="{26D0471C-1E41-4759-A28B-C54F285B8A51}" shapeId="0" xr:uid="{00000000-0006-0000-0200-000001000000}">
      <text>
        <r>
          <rPr>
            <b/>
            <sz val="9"/>
            <color indexed="81"/>
            <rFont val="Tahoma"/>
            <charset val="1"/>
          </rPr>
          <t>Bonnie Robinson:</t>
        </r>
        <r>
          <rPr>
            <sz val="9"/>
            <color indexed="81"/>
            <rFont val="Tahoma"/>
            <charset val="1"/>
          </rPr>
          <t xml:space="preserve">
These two rows go over the page
</t>
        </r>
      </text>
    </comment>
  </commentList>
</comments>
</file>

<file path=xl/sharedStrings.xml><?xml version="1.0" encoding="utf-8"?>
<sst xmlns="http://schemas.openxmlformats.org/spreadsheetml/2006/main" count="591" uniqueCount="252">
  <si>
    <t>Total</t>
  </si>
  <si>
    <t xml:space="preserve"> </t>
  </si>
  <si>
    <t>Commercial Property</t>
  </si>
  <si>
    <t>Aircraft</t>
  </si>
  <si>
    <t>Credit</t>
  </si>
  <si>
    <t>Credit Protection</t>
  </si>
  <si>
    <t>Fidelity</t>
  </si>
  <si>
    <t>Hail</t>
  </si>
  <si>
    <t>Legal Expense</t>
  </si>
  <si>
    <t>Title</t>
  </si>
  <si>
    <t>Marine</t>
  </si>
  <si>
    <t>Personal Property</t>
  </si>
  <si>
    <t>Boiler &amp; Machinery</t>
  </si>
  <si>
    <t>Surety - Total</t>
  </si>
  <si>
    <t xml:space="preserve"> Premium Liabilities</t>
  </si>
  <si>
    <t>Carried in Annual Return ($'000) (Col. 1)</t>
  </si>
  <si>
    <t>Actuary's Estimate ($'000) (Col. 2)</t>
  </si>
  <si>
    <t>(1) Gross policy liabilities in connection with unearned premiums</t>
  </si>
  <si>
    <t>(2) Net policy liabilities in connection with unearned premiums</t>
  </si>
  <si>
    <t>(3) Gross unearned premiums</t>
  </si>
  <si>
    <t>(4) Net unearned premiums</t>
  </si>
  <si>
    <t>(5) Premium deficiency</t>
  </si>
  <si>
    <t>(6) Other net liabilities</t>
  </si>
  <si>
    <t>(7) Deferred policy acquisition expenses</t>
  </si>
  <si>
    <t>(9) Unearned Commissions</t>
  </si>
  <si>
    <t>Auto - Liability - Regular</t>
  </si>
  <si>
    <t>Auto - PA - Regular</t>
  </si>
  <si>
    <t>Auto - Other - Regular</t>
  </si>
  <si>
    <t>Class of Insurance</t>
  </si>
  <si>
    <t>Net
UPR</t>
  </si>
  <si>
    <t>Reinsur. MfAD</t>
  </si>
  <si>
    <t>Reinsur. PfAD</t>
  </si>
  <si>
    <t>Direct
UPR</t>
  </si>
  <si>
    <t>Assumed
UPR</t>
  </si>
  <si>
    <t>Gross
UPR</t>
  </si>
  <si>
    <t>Ceded
UPR</t>
  </si>
  <si>
    <t>Maint. Expenses</t>
  </si>
  <si>
    <t>Contingent Comm.</t>
  </si>
  <si>
    <t>Total PfAD</t>
  </si>
  <si>
    <t>ABC Insurance Company of Canada</t>
  </si>
  <si>
    <t>Liability - Total</t>
  </si>
  <si>
    <t>(000s)</t>
  </si>
  <si>
    <t>Booked DPAE</t>
  </si>
  <si>
    <t>Premium Deficiency</t>
  </si>
  <si>
    <t>As of December 31, XXXX</t>
  </si>
  <si>
    <t>Auto - Liability - Facility</t>
  </si>
  <si>
    <t>Auto - PA - Facility</t>
  </si>
  <si>
    <t>Auto - Other - Facility</t>
  </si>
  <si>
    <t>Appendix B</t>
  </si>
  <si>
    <t>Sheet 1</t>
  </si>
  <si>
    <t>Sheet 2</t>
  </si>
  <si>
    <t>Sheet 3</t>
  </si>
  <si>
    <t>Initial DPAE</t>
  </si>
  <si>
    <t>Appendix</t>
  </si>
  <si>
    <t>Sheet</t>
  </si>
  <si>
    <t>As of December 31, 20XX</t>
  </si>
  <si>
    <t>(4)</t>
  </si>
  <si>
    <t>(5)</t>
  </si>
  <si>
    <t>(6)</t>
  </si>
  <si>
    <t>(7)</t>
  </si>
  <si>
    <t>(8)</t>
  </si>
  <si>
    <t>(9)</t>
  </si>
  <si>
    <t>(1)</t>
  </si>
  <si>
    <t>(2)</t>
  </si>
  <si>
    <t>(3)</t>
  </si>
  <si>
    <t>IBNR</t>
  </si>
  <si>
    <t>20XX - 4</t>
  </si>
  <si>
    <t>20XX - 3</t>
  </si>
  <si>
    <t>20XX - 2</t>
  </si>
  <si>
    <t>20XX - 1</t>
  </si>
  <si>
    <t>20XX</t>
  </si>
  <si>
    <t>(3) = (1)+(2)</t>
  </si>
  <si>
    <t>(5) = (3) x (4)</t>
  </si>
  <si>
    <t>(8) = (6) x (7)</t>
  </si>
  <si>
    <t>(9) = (5) / (8)</t>
  </si>
  <si>
    <t>Age
(Months)</t>
  </si>
  <si>
    <t>Claims
Average
Payment
(Years)</t>
  </si>
  <si>
    <t>Premium Liabilities</t>
  </si>
  <si>
    <t>Premium Liabilities Policyholder Maintenance Expenses</t>
  </si>
  <si>
    <t>(3) =  (1) x (2)</t>
  </si>
  <si>
    <t>(5) = (3) / (4)</t>
  </si>
  <si>
    <t>Source: See OSFI's P&amp;C Memorandum to the Appointed Actuary, 2015, Appendix I</t>
  </si>
  <si>
    <t>Ceded Discounted Losses +ALAE</t>
  </si>
  <si>
    <t>--</t>
  </si>
  <si>
    <t>Discounted Losses + LAE</t>
  </si>
  <si>
    <t>Interest Rate PfAD</t>
  </si>
  <si>
    <t>Discounted Losses with PfADs</t>
  </si>
  <si>
    <t>Undisc. Losses + LAE</t>
  </si>
  <si>
    <r>
      <t>(8) Maximum policy acquisition expenses deferrable [(4)+(5)+(9)]</t>
    </r>
    <r>
      <rPr>
        <vertAlign val="subscript"/>
        <sz val="14"/>
        <rFont val="Calibri"/>
        <family val="2"/>
      </rPr>
      <t>Col. 1</t>
    </r>
    <r>
      <rPr>
        <sz val="14"/>
        <rFont val="Calibri"/>
        <family val="2"/>
        <scheme val="minor"/>
      </rPr>
      <t xml:space="preserve"> - (2)</t>
    </r>
    <r>
      <rPr>
        <vertAlign val="subscript"/>
        <sz val="14"/>
        <rFont val="Calibri"/>
        <family val="2"/>
        <scheme val="minor"/>
      </rPr>
      <t>Col. 2</t>
    </r>
    <r>
      <rPr>
        <sz val="14"/>
        <rFont val="Calibri"/>
        <family val="2"/>
        <scheme val="minor"/>
      </rPr>
      <t xml:space="preserve"> </t>
    </r>
  </si>
  <si>
    <t>Expression of Opinion</t>
  </si>
  <si>
    <t>Appendix C</t>
  </si>
  <si>
    <t>All Lines Combined</t>
  </si>
  <si>
    <t>B</t>
  </si>
  <si>
    <t>Incurred Losses</t>
  </si>
  <si>
    <t>Ult. Losses</t>
  </si>
  <si>
    <t>Trended Ult.</t>
  </si>
  <si>
    <t>OnLevel Rate Factor</t>
  </si>
  <si>
    <t>Trend Factor at 4.0%</t>
  </si>
  <si>
    <t xml:space="preserve">General Expenses </t>
  </si>
  <si>
    <t>Trend Factor at 3.0%</t>
  </si>
  <si>
    <t>Trended General Expenses</t>
  </si>
  <si>
    <t>Total Onlevel Premiums</t>
  </si>
  <si>
    <t>(8) Selected General Expense Ratio:</t>
  </si>
  <si>
    <t>(9) Estimated Portion of Policy Servicing Costs:</t>
  </si>
  <si>
    <t>(7) From company budget income statement</t>
  </si>
  <si>
    <t>(8) Judgment</t>
  </si>
  <si>
    <t>(10) = (8) x (9)</t>
  </si>
  <si>
    <t>(1) Development age of accident year</t>
  </si>
  <si>
    <t>(2) Based on claims liabilities loss development factors</t>
  </si>
  <si>
    <t>(14) Projected Loss Ratio:</t>
  </si>
  <si>
    <t>(12) Selected Loss Ratio:</t>
  </si>
  <si>
    <t>(13) Seasonality Factor :</t>
  </si>
  <si>
    <t>(14) = (12) x (13)</t>
  </si>
  <si>
    <t>(3) From claim liabilities analysis</t>
  </si>
  <si>
    <t>(4) Incremental payment pattern based on (3)</t>
  </si>
  <si>
    <t>(6)  Additional policyholder liabilities not already accounted for above and separately reported on 20.20</t>
  </si>
  <si>
    <t>Accident &amp; Sickness</t>
  </si>
  <si>
    <r>
      <t>(2)</t>
    </r>
    <r>
      <rPr>
        <sz val="11"/>
        <color indexed="8"/>
        <rFont val="Calibri"/>
        <family val="2"/>
      </rPr>
      <t xml:space="preserve"> Assume that all policies have 12-month terms with equal earning and mid-period payments</t>
    </r>
  </si>
  <si>
    <t>Appendix D</t>
  </si>
  <si>
    <t>Future Accident Year Cumulative Payment Pattern</t>
  </si>
  <si>
    <t>(12) Judgment</t>
  </si>
  <si>
    <t>(13) Judgment based on loss pattern of line of business</t>
  </si>
  <si>
    <t>(7) Cumulative successive rate changes going back in time from current levels</t>
  </si>
  <si>
    <t>Calendar Year</t>
  </si>
  <si>
    <t>Accident Year</t>
  </si>
  <si>
    <t>(4) = (1+trend)^[AAD of UPR (mean is 1/3) less AAD of accident year]</t>
  </si>
  <si>
    <t>(11) AY 20XX+1 Budget Personal Property Loss Ratio:</t>
  </si>
  <si>
    <t>(6) From company</t>
  </si>
  <si>
    <t>(1) From company</t>
  </si>
  <si>
    <t>(11) From company budget income statement</t>
  </si>
  <si>
    <t>Incremental Payment Pattern</t>
  </si>
  <si>
    <t>(6) = (4) x { [1+(5)] ^ -(2)}</t>
  </si>
  <si>
    <r>
      <rPr>
        <sz val="11"/>
        <color theme="1"/>
        <rFont val="Calibri"/>
        <family val="2"/>
      </rPr>
      <t>(19)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n/a</t>
    </r>
  </si>
  <si>
    <r>
      <rPr>
        <sz val="11"/>
        <color theme="1"/>
        <rFont val="Calibri"/>
        <family val="2"/>
      </rPr>
      <t>(20)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n/a</t>
    </r>
  </si>
  <si>
    <t>Gross Basis</t>
  </si>
  <si>
    <t>Net Basis</t>
  </si>
  <si>
    <t>Premium Liabilities Analysis</t>
  </si>
  <si>
    <t>Premium Liabilities Loss Ratio</t>
  </si>
  <si>
    <t>Discounting of Premium Liabilities</t>
  </si>
  <si>
    <r>
      <t>(9)</t>
    </r>
    <r>
      <rPr>
        <sz val="11"/>
        <color theme="1"/>
        <rFont val="Calibri"/>
        <family val="2"/>
        <scheme val="minor"/>
      </rPr>
      <t xml:space="preserve"> n/a</t>
    </r>
  </si>
  <si>
    <r>
      <t>(15)</t>
    </r>
    <r>
      <rPr>
        <sz val="11"/>
        <color theme="1"/>
        <rFont val="Calibri"/>
        <family val="2"/>
        <scheme val="minor"/>
      </rPr>
      <t xml:space="preserve"> = (11) x (14)</t>
    </r>
  </si>
  <si>
    <r>
      <t>(18)</t>
    </r>
    <r>
      <rPr>
        <sz val="11"/>
        <color theme="1"/>
        <rFont val="Calibri"/>
        <family val="2"/>
        <scheme val="minor"/>
      </rPr>
      <t xml:space="preserve"> = (13) x (17)</t>
    </r>
  </si>
  <si>
    <r>
      <rPr>
        <sz val="11"/>
        <color theme="1"/>
        <rFont val="Calibri"/>
        <family val="2"/>
      </rPr>
      <t>(21)</t>
    </r>
    <r>
      <rPr>
        <sz val="8.2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n/a</t>
    </r>
  </si>
  <si>
    <r>
      <t>(22)</t>
    </r>
    <r>
      <rPr>
        <sz val="11"/>
        <color theme="1"/>
        <rFont val="Calibri"/>
        <family val="2"/>
        <scheme val="minor"/>
      </rPr>
      <t xml:space="preserve"> = (16) + (18) + (21) </t>
    </r>
  </si>
  <si>
    <r>
      <t>(23)</t>
    </r>
    <r>
      <rPr>
        <sz val="11"/>
        <color theme="1"/>
        <rFont val="Calibri"/>
        <family val="2"/>
        <scheme val="minor"/>
      </rPr>
      <t xml:space="preserve"> = (13) + (22)</t>
    </r>
  </si>
  <si>
    <r>
      <rPr>
        <sz val="11"/>
        <color theme="1"/>
        <rFont val="Calibri"/>
        <family val="2"/>
      </rPr>
      <t>(29)</t>
    </r>
    <r>
      <rPr>
        <sz val="11"/>
        <color theme="1"/>
        <rFont val="Calibri"/>
        <family val="2"/>
        <scheme val="minor"/>
      </rPr>
      <t xml:space="preserve"> n/a</t>
    </r>
  </si>
  <si>
    <r>
      <t>(31)</t>
    </r>
    <r>
      <rPr>
        <sz val="11"/>
        <color theme="1"/>
        <rFont val="Calibri"/>
        <family val="2"/>
        <scheme val="minor"/>
      </rPr>
      <t xml:space="preserve"> = max [ (30) , 0 ]</t>
    </r>
  </si>
  <si>
    <r>
      <rPr>
        <sz val="11"/>
        <color theme="1"/>
        <rFont val="Calibri"/>
        <family val="2"/>
      </rPr>
      <t>(32)</t>
    </r>
    <r>
      <rPr>
        <sz val="11"/>
        <color theme="1"/>
        <rFont val="Calibri"/>
        <family val="2"/>
        <scheme val="minor"/>
      </rPr>
      <t xml:space="preserve"> From company accounting department</t>
    </r>
  </si>
  <si>
    <r>
      <rPr>
        <sz val="11"/>
        <color theme="1"/>
        <rFont val="Calibri"/>
        <family val="2"/>
      </rPr>
      <t>(33)</t>
    </r>
    <r>
      <rPr>
        <sz val="11"/>
        <color theme="1"/>
        <rFont val="Calibri"/>
        <family val="2"/>
        <scheme val="minor"/>
      </rPr>
      <t xml:space="preserve"> = min [ (31) , (32) ] </t>
    </r>
  </si>
  <si>
    <r>
      <rPr>
        <sz val="11"/>
        <color theme="1"/>
        <rFont val="Calibri"/>
        <family val="2"/>
      </rPr>
      <t>(34)</t>
    </r>
    <r>
      <rPr>
        <sz val="11"/>
        <color theme="1"/>
        <rFont val="Calibri"/>
        <family val="2"/>
        <scheme val="minor"/>
      </rPr>
      <t xml:space="preserve"> =  - min [ (30) , 0 ]</t>
    </r>
  </si>
  <si>
    <r>
      <t>(12)</t>
    </r>
    <r>
      <rPr>
        <sz val="11"/>
        <color theme="1"/>
        <rFont val="Calibri"/>
        <family val="2"/>
        <scheme val="minor"/>
      </rPr>
      <t xml:space="preserve"> Similar calculation as gross analysis</t>
    </r>
  </si>
  <si>
    <r>
      <t>(13)</t>
    </r>
    <r>
      <rPr>
        <sz val="11"/>
        <color theme="1"/>
        <rFont val="Calibri"/>
        <family val="2"/>
        <scheme val="minor"/>
      </rPr>
      <t xml:space="preserve"> = (11) x (12)</t>
    </r>
  </si>
  <si>
    <r>
      <t>(14)</t>
    </r>
    <r>
      <rPr>
        <sz val="11"/>
        <color theme="1"/>
        <rFont val="Calibri"/>
        <family val="2"/>
        <scheme val="minor"/>
      </rPr>
      <t xml:space="preserve"> Similar calculation as gross analysis</t>
    </r>
  </si>
  <si>
    <t>(20) Reinsurance MfAD used for the valuation of claims liabilities</t>
  </si>
  <si>
    <t>(21) = (19) x (20)</t>
  </si>
  <si>
    <r>
      <t>(9)</t>
    </r>
    <r>
      <rPr>
        <sz val="11"/>
        <color theme="1"/>
        <rFont val="Calibri"/>
        <family val="2"/>
        <scheme val="minor"/>
      </rPr>
      <t xml:space="preserve"> Based on claims liabilities valuation (% of gross losses)</t>
    </r>
  </si>
  <si>
    <r>
      <t>(5)</t>
    </r>
    <r>
      <rPr>
        <sz val="11"/>
        <color theme="1"/>
        <rFont val="Calibri"/>
        <family val="2"/>
        <scheme val="minor"/>
      </rPr>
      <t xml:space="preserve"> Discount rate from the valuation of claims liabilities based on cash flow model which includes premium payment lags, if any</t>
    </r>
  </si>
  <si>
    <t>Projected General Expense Ratio</t>
  </si>
  <si>
    <t>(6) = Sum of (3) / Sum of (4) for latest two years</t>
  </si>
  <si>
    <t>(10) Indicated Policyholder Maintenance Expense Ratio:</t>
  </si>
  <si>
    <t>Other Approved Products</t>
  </si>
  <si>
    <t>Equity in UPR</t>
  </si>
  <si>
    <t xml:space="preserve">ULAE </t>
  </si>
  <si>
    <t>Selected Undisc. Loss Ratio (% Prem)</t>
  </si>
  <si>
    <t>Losses + ALAE</t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</si>
  <si>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n/a</t>
    </r>
  </si>
  <si>
    <r>
      <t xml:space="preserve">(6) </t>
    </r>
    <r>
      <rPr>
        <sz val="11"/>
        <color theme="1"/>
        <rFont val="Calibri"/>
        <family val="2"/>
        <scheme val="minor"/>
      </rPr>
      <t>n/a</t>
    </r>
  </si>
  <si>
    <r>
      <t>(17)</t>
    </r>
    <r>
      <rPr>
        <sz val="11"/>
        <color theme="1"/>
        <rFont val="Calibri"/>
        <family val="2"/>
        <scheme val="minor"/>
      </rPr>
      <t xml:space="preserve"> Claims development MfAD used for the valuation of claims liabilities</t>
    </r>
  </si>
  <si>
    <r>
      <t>(17)</t>
    </r>
    <r>
      <rPr>
        <sz val="11"/>
        <color theme="1"/>
        <rFont val="Calibri"/>
        <family val="2"/>
        <scheme val="minor"/>
      </rPr>
      <t xml:space="preserve"> Claims development MfAD used for the valuation of claims liabilities</t>
    </r>
  </si>
  <si>
    <t>Discount Factor</t>
  </si>
  <si>
    <t>Discount Rate</t>
  </si>
  <si>
    <t>MfAD on Discount Rate</t>
  </si>
  <si>
    <t>Discount Rate (with MfAD)</t>
  </si>
  <si>
    <t>Discount Factor (with MfAD)</t>
  </si>
  <si>
    <t>Discounted Losses + LAE (with Int. PfAD)</t>
  </si>
  <si>
    <t>(30) = (5) - (28) + (29)</t>
  </si>
  <si>
    <r>
      <rPr>
        <sz val="11"/>
        <color theme="1"/>
        <rFont val="Calibri"/>
        <family val="2"/>
      </rPr>
      <t>(30)</t>
    </r>
    <r>
      <rPr>
        <sz val="11"/>
        <color theme="1"/>
        <rFont val="Calibri"/>
        <family val="2"/>
        <scheme val="minor"/>
      </rPr>
      <t xml:space="preserve"> = (5) - (28) </t>
    </r>
  </si>
  <si>
    <t>(7) CY 20XX + 1 Budget General Expense Ratio:</t>
  </si>
  <si>
    <t>(10) = Sum of (5) / Sum of (8) for latest three years</t>
  </si>
  <si>
    <t>(4) Company total gross premium adjusted for rate changes, if available</t>
  </si>
  <si>
    <r>
      <rPr>
        <sz val="11"/>
        <color theme="1"/>
        <rFont val="Calibri"/>
        <family val="2"/>
      </rPr>
      <t>(1)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</si>
  <si>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r>
      <rPr>
        <sz val="11"/>
        <color theme="1"/>
        <rFont val="Calibri"/>
        <family val="2"/>
      </rPr>
      <t>(2)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</si>
  <si>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r>
      <rPr>
        <sz val="11"/>
        <color theme="1"/>
        <rFont val="Calibri"/>
        <family val="2"/>
      </rPr>
      <t>(29)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</si>
  <si>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t xml:space="preserve">Extract of </t>
  </si>
  <si>
    <r>
      <rPr>
        <sz val="11"/>
        <color theme="1"/>
        <rFont val="Calibri"/>
        <family val="2"/>
      </rP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</si>
  <si>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</si>
  <si>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rPr>
        <sz val="11"/>
        <color theme="1"/>
        <rFont val="Calibri"/>
        <family val="2"/>
      </rPr>
      <t>(7)</t>
    </r>
    <r>
      <rPr>
        <sz val="11"/>
        <color theme="1"/>
        <rFont val="Calibri"/>
        <family val="2"/>
        <scheme val="minor"/>
      </rPr>
      <t xml:space="preserve"> From Appendix B, Sheet 4, row (14); Facility from Participation Reports</t>
    </r>
  </si>
  <si>
    <r>
      <t>(7)</t>
    </r>
    <r>
      <rPr>
        <sz val="11"/>
        <color theme="1"/>
        <rFont val="Calibri"/>
        <family val="2"/>
        <scheme val="minor"/>
      </rPr>
      <t xml:space="preserve"> Similar calculation as gross analysis</t>
    </r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</si>
  <si>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</si>
  <si>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</si>
  <si>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r>
      <t>(10)</t>
    </r>
    <r>
      <rPr>
        <sz val="11"/>
        <color theme="1"/>
        <rFont val="Calibri"/>
        <family val="2"/>
        <scheme val="minor"/>
      </rPr>
      <t xml:space="preserve"> =  (8) x (9)</t>
    </r>
  </si>
  <si>
    <r>
      <t>(11)</t>
    </r>
    <r>
      <rPr>
        <sz val="11"/>
        <color theme="1"/>
        <rFont val="Calibri"/>
        <family val="2"/>
        <scheme val="minor"/>
      </rPr>
      <t xml:space="preserve"> = (8) + (10)</t>
    </r>
  </si>
  <si>
    <r>
      <t>(16)</t>
    </r>
    <r>
      <rPr>
        <sz val="11"/>
        <color theme="1"/>
        <rFont val="Calibri"/>
        <family val="2"/>
        <scheme val="minor"/>
      </rPr>
      <t xml:space="preserve"> = (15)  -  (13)</t>
    </r>
  </si>
  <si>
    <r>
      <t>(24)</t>
    </r>
    <r>
      <rPr>
        <sz val="11"/>
        <color theme="1"/>
        <rFont val="Calibri"/>
        <family val="2"/>
        <scheme val="minor"/>
      </rPr>
      <t xml:space="preserve"> From Appendix B, Sheet 6, row (10)</t>
    </r>
  </si>
  <si>
    <t>(10) Total:</t>
  </si>
  <si>
    <t>(11) Average Accident Date Future Accident Year:</t>
  </si>
  <si>
    <t>(12) Average Accident Date Premium Liabilities:</t>
  </si>
  <si>
    <t>(13) Discount Factor as of Valuation Date:</t>
  </si>
  <si>
    <t>(7) Interest rate MfAD used for the valuation of claims liabilities</t>
  </si>
  <si>
    <t>(8) = (5) - (7)</t>
  </si>
  <si>
    <t>(9) = (4) x { [1+(8)] ^ -(2)}</t>
  </si>
  <si>
    <t>(11) Mean accident date of a future accident year (July 1st)</t>
  </si>
  <si>
    <t>(12) Mean accident date of UPR triangle (or May 1st)</t>
  </si>
  <si>
    <t>(10) Column total</t>
  </si>
  <si>
    <t>(13) = (10) x [1 + discount rate ] ^ [(11) - (12)]</t>
  </si>
  <si>
    <t>(1) From accounting department or annual return</t>
  </si>
  <si>
    <t>(2) = (1+trend)^[AAD of UPR (or 1/3) less average earned date of calendar year (or 1/2)]</t>
  </si>
  <si>
    <t>(9) Assumption that 25% of general expenses are used for servicing in-force policies</t>
  </si>
  <si>
    <r>
      <rPr>
        <sz val="11"/>
        <color theme="1"/>
        <rFont val="Calibri"/>
        <family val="2"/>
      </rP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</si>
  <si>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</si>
  <si>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</si>
  <si>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r>
      <t xml:space="preserve">(6) </t>
    </r>
    <r>
      <rPr>
        <sz val="11"/>
        <color theme="1"/>
        <rFont val="Calibri"/>
        <family val="2"/>
        <scheme val="minor"/>
      </rPr>
      <t xml:space="preserve">From company </t>
    </r>
  </si>
  <si>
    <t>Selected ULAE  Ratio (% Loss + ALAE)</t>
  </si>
  <si>
    <r>
      <t>(26)</t>
    </r>
    <r>
      <rPr>
        <sz val="11"/>
        <color theme="1"/>
        <rFont val="Calibri"/>
        <family val="2"/>
        <scheme val="minor"/>
      </rPr>
      <t xml:space="preserve"> Based on company budget and projected loss ratios</t>
    </r>
  </si>
  <si>
    <r>
      <t>(25)</t>
    </r>
    <r>
      <rPr>
        <sz val="11"/>
        <color theme="1"/>
        <rFont val="Calibri"/>
        <family val="2"/>
        <scheme val="minor"/>
      </rPr>
      <t xml:space="preserve"> = (3) x (24)</t>
    </r>
  </si>
  <si>
    <r>
      <t>(27)</t>
    </r>
    <r>
      <rPr>
        <sz val="11"/>
        <color theme="1"/>
        <rFont val="Calibri"/>
        <family val="2"/>
        <scheme val="minor"/>
      </rPr>
      <t xml:space="preserve"> = (3) x (26)</t>
    </r>
  </si>
  <si>
    <t>(25) = (3) x (24)</t>
  </si>
  <si>
    <t>(26) Based on company budget and projected loss ratios</t>
  </si>
  <si>
    <t>(27) = (3) x (26)</t>
  </si>
  <si>
    <r>
      <t>(28)</t>
    </r>
    <r>
      <rPr>
        <sz val="11"/>
        <color theme="1"/>
        <rFont val="Calibri"/>
        <family val="2"/>
        <scheme val="minor"/>
      </rPr>
      <t xml:space="preserve"> = (6) + (23) + (25) + (27) </t>
    </r>
  </si>
  <si>
    <t>(32) From company accounting department</t>
  </si>
  <si>
    <r>
      <t>(22) = (16) + (18) + (21)  [</t>
    </r>
    <r>
      <rPr>
        <b/>
        <sz val="11"/>
        <color theme="1"/>
        <rFont val="Calibri"/>
        <family val="2"/>
      </rPr>
      <t>input for P&amp;C annual return Page 30.64, Column (14) ]</t>
    </r>
  </si>
  <si>
    <r>
      <t xml:space="preserve">(33) = min [ (31) , (32) ] </t>
    </r>
    <r>
      <rPr>
        <b/>
        <sz val="11"/>
        <color theme="1"/>
        <rFont val="Calibri"/>
        <family val="2"/>
      </rPr>
      <t xml:space="preserve"> [input for P&amp;C annual return Page 20.10, row(43)]</t>
    </r>
  </si>
  <si>
    <r>
      <t xml:space="preserve">(34) =  - min [ (30) , 0 ] </t>
    </r>
    <r>
      <rPr>
        <b/>
        <sz val="11"/>
        <color theme="1"/>
        <rFont val="Calibri"/>
        <family val="2"/>
      </rPr>
      <t>[input for P&amp;C annual return Page 20.20, row (15)]</t>
    </r>
  </si>
  <si>
    <t>Unearned (Ceded) Comm.</t>
  </si>
  <si>
    <r>
      <t>(12)</t>
    </r>
    <r>
      <rPr>
        <sz val="11"/>
        <color theme="1"/>
        <rFont val="Calibri"/>
        <family val="2"/>
        <scheme val="minor"/>
      </rPr>
      <t xml:space="preserve"> Appendix B, Sheet 5, row (13)</t>
    </r>
  </si>
  <si>
    <r>
      <t>(14)</t>
    </r>
    <r>
      <rPr>
        <sz val="11"/>
        <color theme="1"/>
        <rFont val="Calibri"/>
        <family val="2"/>
        <scheme val="minor"/>
      </rPr>
      <t xml:space="preserve"> Appendix B, Sheet 5, row (13)</t>
    </r>
  </si>
  <si>
    <t>Columns (30) to (34)  are for informational purposes only.</t>
  </si>
  <si>
    <t>(6) Latest Two-Year Weighted Average:</t>
  </si>
  <si>
    <t>(10) Latest Three-Year Weighted Average:</t>
  </si>
  <si>
    <t>Max. Allowable DPAE</t>
  </si>
  <si>
    <t>(24) From appendix B, sheet 6, row (10)</t>
  </si>
  <si>
    <r>
      <t>(19)</t>
    </r>
    <r>
      <rPr>
        <sz val="11"/>
        <color theme="1"/>
        <rFont val="Calibri"/>
        <family val="2"/>
        <scheme val="minor"/>
      </rPr>
      <t xml:space="preserve"> [Appendix B, sheet 2, column (13)]  - column (13)</t>
    </r>
  </si>
  <si>
    <t>(1)  See appendix B, sheet 3, column (28) total</t>
  </si>
  <si>
    <t>(2)  See appendix C, sheet 3, column (28) total</t>
  </si>
  <si>
    <t>(3)  From appendix C, sheet 1, column (3)</t>
  </si>
  <si>
    <t>(4)  From appendix C, sheet 1, column (5)</t>
  </si>
  <si>
    <t>(5)  From appendix C, sheet 3, column (34) total</t>
  </si>
  <si>
    <t>(7)  See appendix C, sheet 3, column (33) total</t>
  </si>
  <si>
    <t>(9)  From appendix C, sheet 3, column (29) total</t>
  </si>
  <si>
    <r>
      <rPr>
        <sz val="11"/>
        <color theme="1"/>
        <rFont val="Calibri"/>
        <family val="2"/>
      </rPr>
      <t>(10)</t>
    </r>
    <r>
      <rPr>
        <sz val="11"/>
        <color theme="1"/>
        <rFont val="Calibri"/>
        <family val="2"/>
        <scheme val="minor"/>
      </rPr>
      <t xml:space="preserve"> Appendix B, sheet 1, column (10)</t>
    </r>
  </si>
  <si>
    <r>
      <t>(1)</t>
    </r>
    <r>
      <rPr>
        <sz val="11"/>
        <color theme="1"/>
        <rFont val="Calibri"/>
        <family val="2"/>
        <scheme val="minor"/>
      </rPr>
      <t xml:space="preserve"> From appendix B, sheet 1, column (1)</t>
    </r>
  </si>
  <si>
    <r>
      <t>(2)</t>
    </r>
    <r>
      <rPr>
        <sz val="11"/>
        <color theme="1"/>
        <rFont val="Calibri"/>
        <family val="2"/>
        <scheme val="minor"/>
      </rPr>
      <t xml:space="preserve"> From appendix B, sheet 1, column (2)</t>
    </r>
  </si>
  <si>
    <t>Expected Reinsur. Premium</t>
  </si>
  <si>
    <t>Maint. Expense Ratio (% Gross Prem.)</t>
  </si>
  <si>
    <t>Contingent Comm. Rate (% Gross Prem.)</t>
  </si>
  <si>
    <t>Selected Undisc. Loss Ratio (% Prem.)</t>
  </si>
  <si>
    <t>Claims Dev't. MfAD</t>
  </si>
  <si>
    <t>Claims Dev't. PfAD</t>
  </si>
  <si>
    <t>Earned Prem.</t>
  </si>
  <si>
    <t>OnLevel Prem.</t>
  </si>
  <si>
    <t>Ult. Loss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</si>
</sst>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0_-;\-* #,##0.000_-;_-* &quot;-&quot;??_-;_-@_-"/>
    <numFmt numFmtId="167" formatCode="#,##0;\(#,##0\)"/>
    <numFmt numFmtId="168" formatCode="#,##0\ ;\(#,##0\)\ "/>
    <numFmt numFmtId="169" formatCode="[$-1009]d\-mmm\-yy;@"/>
    <numFmt numFmtId="170" formatCode="#,##0.000"/>
    <numFmt numFmtId="171" formatCode="#,##0.000;\(#,##0.000\)"/>
    <numFmt numFmtId="172" formatCode="#,##0.000_);[Red]\(#,##0.00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6"/>
      <name val="Arial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vertAlign val="subscript"/>
      <sz val="14"/>
      <name val="Calibri"/>
      <family val="2"/>
    </font>
    <font>
      <vertAlign val="subscript"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6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8.25"/>
      <color theme="1"/>
      <name val="Calibri"/>
      <family val="2"/>
    </font>
    <font>
      <b/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5" borderId="0" applyNumberFormat="0" applyBorder="0" applyAlignment="0" applyProtection="0"/>
    <xf numFmtId="0" fontId="3" fillId="0" borderId="0"/>
    <xf numFmtId="0" fontId="3" fillId="0" borderId="0"/>
  </cellStyleXfs>
  <cellXfs count="18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7" fontId="0" fillId="0" borderId="0" xfId="0" applyNumberFormat="1"/>
    <xf numFmtId="167" fontId="0" fillId="0" borderId="0" xfId="0" applyNumberFormat="1"/>
    <xf numFmtId="164" fontId="0" fillId="0" borderId="0" xfId="0" applyNumberFormat="1"/>
    <xf numFmtId="10" fontId="0" fillId="0" borderId="0" xfId="0" applyNumberFormat="1"/>
    <xf numFmtId="170" fontId="0" fillId="0" borderId="0" xfId="0" applyNumberFormat="1" applyAlignment="1">
      <alignment horizontal="right"/>
    </xf>
    <xf numFmtId="0" fontId="0" fillId="0" borderId="0" xfId="0" applyFill="1"/>
    <xf numFmtId="167" fontId="0" fillId="0" borderId="0" xfId="0" applyNumberFormat="1" applyFill="1"/>
    <xf numFmtId="10" fontId="0" fillId="0" borderId="0" xfId="0" applyNumberFormat="1" applyAlignment="1">
      <alignment horizontal="right"/>
    </xf>
    <xf numFmtId="0" fontId="0" fillId="0" borderId="0" xfId="0" applyFont="1"/>
    <xf numFmtId="0" fontId="5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37" fontId="5" fillId="0" borderId="4" xfId="0" applyNumberFormat="1" applyFont="1" applyBorder="1"/>
    <xf numFmtId="167" fontId="5" fillId="0" borderId="4" xfId="0" applyNumberFormat="1" applyFont="1" applyBorder="1"/>
    <xf numFmtId="164" fontId="5" fillId="0" borderId="4" xfId="0" applyNumberFormat="1" applyFont="1" applyBorder="1"/>
    <xf numFmtId="167" fontId="5" fillId="0" borderId="4" xfId="0" applyNumberFormat="1" applyFont="1" applyFill="1" applyBorder="1"/>
    <xf numFmtId="167" fontId="5" fillId="0" borderId="16" xfId="0" quotePrefix="1" applyNumberFormat="1" applyFont="1" applyBorder="1" applyAlignment="1">
      <alignment horizontal="center"/>
    </xf>
    <xf numFmtId="167" fontId="5" fillId="4" borderId="2" xfId="0" applyNumberFormat="1" applyFont="1" applyFill="1" applyBorder="1"/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167" fontId="5" fillId="0" borderId="0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0" applyNumberFormat="1" applyBorder="1"/>
    <xf numFmtId="167" fontId="5" fillId="0" borderId="0" xfId="0" applyNumberFormat="1" applyFont="1" applyBorder="1"/>
    <xf numFmtId="169" fontId="7" fillId="0" borderId="0" xfId="0" applyNumberFormat="1" applyFont="1" applyBorder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1" fontId="5" fillId="0" borderId="4" xfId="0" applyNumberFormat="1" applyFont="1" applyBorder="1"/>
    <xf numFmtId="0" fontId="9" fillId="0" borderId="0" xfId="0" applyFont="1" applyFill="1" applyAlignment="1">
      <alignment horizontal="right"/>
    </xf>
    <xf numFmtId="164" fontId="5" fillId="0" borderId="4" xfId="7" applyNumberFormat="1" applyFont="1" applyBorder="1"/>
    <xf numFmtId="10" fontId="5" fillId="0" borderId="4" xfId="7" applyNumberFormat="1" applyFont="1" applyBorder="1"/>
    <xf numFmtId="0" fontId="11" fillId="0" borderId="0" xfId="0" applyFont="1"/>
    <xf numFmtId="0" fontId="1" fillId="0" borderId="0" xfId="9" applyFont="1" applyFill="1"/>
    <xf numFmtId="0" fontId="1" fillId="0" borderId="0" xfId="0" applyFont="1" applyFill="1"/>
    <xf numFmtId="0" fontId="12" fillId="0" borderId="0" xfId="0" applyFont="1" applyFill="1"/>
    <xf numFmtId="0" fontId="5" fillId="0" borderId="0" xfId="0" applyFont="1" applyFill="1"/>
    <xf numFmtId="0" fontId="13" fillId="0" borderId="0" xfId="9" applyFont="1" applyFill="1" applyAlignment="1">
      <alignment horizontal="left"/>
    </xf>
    <xf numFmtId="0" fontId="1" fillId="0" borderId="0" xfId="9" applyFont="1" applyFill="1" applyAlignment="1">
      <alignment horizontal="right"/>
    </xf>
    <xf numFmtId="0" fontId="1" fillId="0" borderId="0" xfId="9" quotePrefix="1" applyFont="1" applyFill="1" applyAlignment="1">
      <alignment horizontal="right"/>
    </xf>
    <xf numFmtId="0" fontId="1" fillId="0" borderId="16" xfId="9" applyFont="1" applyFill="1" applyBorder="1" applyAlignment="1">
      <alignment horizontal="center"/>
    </xf>
    <xf numFmtId="0" fontId="1" fillId="0" borderId="0" xfId="9" quotePrefix="1" applyFont="1" applyFill="1" applyBorder="1" applyAlignment="1">
      <alignment horizontal="center"/>
    </xf>
    <xf numFmtId="38" fontId="1" fillId="0" borderId="0" xfId="1" applyNumberFormat="1" applyFont="1" applyFill="1"/>
    <xf numFmtId="38" fontId="1" fillId="0" borderId="0" xfId="9" applyNumberFormat="1" applyFont="1" applyFill="1" applyBorder="1"/>
    <xf numFmtId="38" fontId="1" fillId="0" borderId="0" xfId="0" applyNumberFormat="1" applyFont="1" applyFill="1" applyBorder="1" applyAlignment="1" applyProtection="1"/>
    <xf numFmtId="172" fontId="1" fillId="0" borderId="0" xfId="0" applyNumberFormat="1" applyFont="1" applyFill="1" applyBorder="1" applyAlignment="1" applyProtection="1"/>
    <xf numFmtId="164" fontId="1" fillId="0" borderId="0" xfId="6" applyNumberFormat="1" applyFont="1" applyFill="1" applyBorder="1"/>
    <xf numFmtId="0" fontId="1" fillId="0" borderId="17" xfId="9" applyFont="1" applyFill="1" applyBorder="1" applyAlignment="1">
      <alignment horizontal="center"/>
    </xf>
    <xf numFmtId="38" fontId="1" fillId="0" borderId="17" xfId="1" applyNumberFormat="1" applyFont="1" applyFill="1" applyBorder="1"/>
    <xf numFmtId="38" fontId="1" fillId="0" borderId="0" xfId="1" applyNumberFormat="1" applyFont="1" applyFill="1" applyBorder="1"/>
    <xf numFmtId="164" fontId="1" fillId="0" borderId="17" xfId="6" applyNumberFormat="1" applyFont="1" applyFill="1" applyBorder="1"/>
    <xf numFmtId="38" fontId="1" fillId="0" borderId="0" xfId="9" applyNumberFormat="1" applyFont="1" applyFill="1"/>
    <xf numFmtId="164" fontId="1" fillId="0" borderId="0" xfId="6" applyNumberFormat="1" applyFont="1" applyFill="1"/>
    <xf numFmtId="0" fontId="1" fillId="0" borderId="0" xfId="9" quotePrefix="1" applyFont="1" applyFill="1"/>
    <xf numFmtId="0" fontId="1" fillId="0" borderId="0" xfId="0" applyFont="1" applyFill="1" applyAlignment="1" applyProtection="1">
      <alignment horizontal="right"/>
    </xf>
    <xf numFmtId="164" fontId="1" fillId="0" borderId="0" xfId="6" applyNumberFormat="1" applyFont="1" applyFill="1" applyAlignment="1" applyProtection="1">
      <alignment horizontal="right"/>
    </xf>
    <xf numFmtId="0" fontId="11" fillId="0" borderId="0" xfId="0" applyFont="1" applyFill="1"/>
    <xf numFmtId="164" fontId="5" fillId="0" borderId="18" xfId="6" applyNumberFormat="1" applyFont="1" applyFill="1" applyBorder="1"/>
    <xf numFmtId="0" fontId="1" fillId="0" borderId="0" xfId="9" quotePrefix="1" applyFont="1" applyFill="1" applyAlignment="1">
      <alignment horizontal="left"/>
    </xf>
    <xf numFmtId="164" fontId="1" fillId="0" borderId="0" xfId="0" applyNumberFormat="1" applyFont="1" applyFill="1"/>
    <xf numFmtId="0" fontId="15" fillId="0" borderId="0" xfId="8" applyFont="1" applyFill="1"/>
    <xf numFmtId="0" fontId="15" fillId="0" borderId="0" xfId="8" applyFont="1" applyFill="1" applyBorder="1" applyAlignment="1">
      <alignment horizontal="right"/>
    </xf>
    <xf numFmtId="169" fontId="15" fillId="0" borderId="0" xfId="8" applyNumberFormat="1" applyFont="1" applyFill="1" applyBorder="1" applyAlignment="1">
      <alignment horizontal="right"/>
    </xf>
    <xf numFmtId="0" fontId="16" fillId="0" borderId="16" xfId="8" applyFont="1" applyFill="1" applyBorder="1" applyAlignment="1">
      <alignment horizontal="center" vertical="center" wrapText="1"/>
    </xf>
    <xf numFmtId="164" fontId="15" fillId="0" borderId="0" xfId="6" applyNumberFormat="1" applyFont="1" applyFill="1" applyAlignment="1" applyProtection="1">
      <alignment horizontal="right"/>
    </xf>
    <xf numFmtId="0" fontId="17" fillId="0" borderId="0" xfId="0" applyFont="1" applyFill="1"/>
    <xf numFmtId="0" fontId="1" fillId="0" borderId="0" xfId="9" applyFont="1" applyFill="1" applyBorder="1" applyAlignment="1">
      <alignment horizontal="left"/>
    </xf>
    <xf numFmtId="10" fontId="1" fillId="0" borderId="0" xfId="6" applyNumberFormat="1" applyFont="1" applyFill="1" applyBorder="1" applyAlignment="1">
      <alignment horizontal="center"/>
    </xf>
    <xf numFmtId="0" fontId="1" fillId="0" borderId="0" xfId="9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1" applyNumberFormat="1" applyFont="1" applyFill="1" applyBorder="1"/>
    <xf numFmtId="0" fontId="1" fillId="0" borderId="0" xfId="9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/>
    </xf>
    <xf numFmtId="164" fontId="1" fillId="0" borderId="0" xfId="9" applyNumberFormat="1" applyFont="1" applyFill="1" applyBorder="1"/>
    <xf numFmtId="0" fontId="5" fillId="0" borderId="0" xfId="0" applyFont="1" applyFill="1" applyBorder="1"/>
    <xf numFmtId="0" fontId="1" fillId="0" borderId="0" xfId="9" quotePrefix="1" applyFont="1" applyFill="1" applyAlignment="1"/>
    <xf numFmtId="0" fontId="11" fillId="0" borderId="0" xfId="9" applyFont="1" applyFill="1" applyAlignment="1"/>
    <xf numFmtId="0" fontId="9" fillId="2" borderId="0" xfId="0" applyFont="1" applyFill="1"/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horizontal="center" wrapText="1"/>
    </xf>
    <xf numFmtId="167" fontId="18" fillId="0" borderId="8" xfId="0" applyNumberFormat="1" applyFont="1" applyBorder="1" applyAlignment="1">
      <alignment horizontal="center" wrapText="1"/>
    </xf>
    <xf numFmtId="0" fontId="19" fillId="0" borderId="9" xfId="0" applyFont="1" applyBorder="1"/>
    <xf numFmtId="168" fontId="19" fillId="3" borderId="10" xfId="0" applyNumberFormat="1" applyFont="1" applyFill="1" applyBorder="1"/>
    <xf numFmtId="168" fontId="19" fillId="0" borderId="11" xfId="0" applyNumberFormat="1" applyFont="1" applyBorder="1" applyAlignment="1">
      <alignment horizontal="right"/>
    </xf>
    <xf numFmtId="165" fontId="9" fillId="2" borderId="0" xfId="1" applyNumberFormat="1" applyFont="1" applyFill="1"/>
    <xf numFmtId="0" fontId="19" fillId="0" borderId="12" xfId="0" applyFont="1" applyBorder="1"/>
    <xf numFmtId="168" fontId="19" fillId="3" borderId="2" xfId="0" applyNumberFormat="1" applyFont="1" applyFill="1" applyBorder="1"/>
    <xf numFmtId="168" fontId="19" fillId="0" borderId="13" xfId="0" applyNumberFormat="1" applyFont="1" applyBorder="1" applyAlignment="1">
      <alignment horizontal="right"/>
    </xf>
    <xf numFmtId="168" fontId="19" fillId="0" borderId="2" xfId="0" applyNumberFormat="1" applyFont="1" applyBorder="1"/>
    <xf numFmtId="168" fontId="19" fillId="3" borderId="13" xfId="0" applyNumberFormat="1" applyFont="1" applyFill="1" applyBorder="1" applyAlignment="1">
      <alignment horizontal="right"/>
    </xf>
    <xf numFmtId="168" fontId="19" fillId="0" borderId="13" xfId="0" applyNumberFormat="1" applyFont="1" applyFill="1" applyBorder="1" applyAlignment="1">
      <alignment horizontal="right"/>
    </xf>
    <xf numFmtId="168" fontId="9" fillId="2" borderId="0" xfId="0" applyNumberFormat="1" applyFont="1" applyFill="1"/>
    <xf numFmtId="0" fontId="19" fillId="0" borderId="14" xfId="0" applyFont="1" applyBorder="1"/>
    <xf numFmtId="168" fontId="19" fillId="0" borderId="15" xfId="0" applyNumberFormat="1" applyFont="1" applyFill="1" applyBorder="1"/>
    <xf numFmtId="168" fontId="19" fillId="3" borderId="3" xfId="0" applyNumberFormat="1" applyFont="1" applyFill="1" applyBorder="1" applyAlignment="1">
      <alignment horizontal="right"/>
    </xf>
    <xf numFmtId="0" fontId="22" fillId="2" borderId="0" xfId="0" applyFont="1" applyFill="1"/>
    <xf numFmtId="165" fontId="0" fillId="0" borderId="0" xfId="1" applyNumberFormat="1" applyFont="1"/>
    <xf numFmtId="167" fontId="0" fillId="0" borderId="0" xfId="0" quotePrefix="1" applyNumberFormat="1" applyAlignment="1">
      <alignment horizontal="right"/>
    </xf>
    <xf numFmtId="167" fontId="0" fillId="0" borderId="0" xfId="0" applyNumberFormat="1" applyAlignment="1">
      <alignment horizontal="right"/>
    </xf>
    <xf numFmtId="165" fontId="15" fillId="0" borderId="0" xfId="1" applyNumberFormat="1" applyFont="1" applyFill="1"/>
    <xf numFmtId="165" fontId="16" fillId="0" borderId="4" xfId="8" applyNumberFormat="1" applyFont="1" applyFill="1" applyBorder="1"/>
    <xf numFmtId="0" fontId="5" fillId="0" borderId="0" xfId="0" applyFont="1"/>
    <xf numFmtId="169" fontId="23" fillId="0" borderId="0" xfId="0" applyNumberFormat="1" applyFont="1" applyBorder="1" applyAlignment="1">
      <alignment horizontal="right"/>
    </xf>
    <xf numFmtId="164" fontId="0" fillId="0" borderId="0" xfId="7" quotePrefix="1" applyNumberFormat="1" applyFont="1" applyAlignment="1">
      <alignment horizontal="right"/>
    </xf>
    <xf numFmtId="0" fontId="9" fillId="2" borderId="0" xfId="0" applyFont="1" applyFill="1" applyAlignment="1">
      <alignment horizontal="right"/>
    </xf>
    <xf numFmtId="0" fontId="0" fillId="0" borderId="0" xfId="9" applyFont="1" applyFill="1"/>
    <xf numFmtId="0" fontId="0" fillId="0" borderId="0" xfId="9" applyFont="1" applyFill="1" applyAlignment="1">
      <alignment horizontal="right"/>
    </xf>
    <xf numFmtId="0" fontId="0" fillId="0" borderId="0" xfId="9" applyFont="1" applyFill="1" applyAlignment="1">
      <alignment horizontal="left"/>
    </xf>
    <xf numFmtId="0" fontId="0" fillId="0" borderId="0" xfId="9" applyFont="1" applyFill="1" applyBorder="1" applyAlignment="1">
      <alignment horizontal="right"/>
    </xf>
    <xf numFmtId="0" fontId="0" fillId="0" borderId="0" xfId="0" applyFont="1" applyFill="1" applyAlignment="1" applyProtection="1">
      <alignment horizontal="right"/>
    </xf>
    <xf numFmtId="0" fontId="0" fillId="0" borderId="16" xfId="9" applyFont="1" applyFill="1" applyBorder="1" applyAlignment="1">
      <alignment horizontal="center"/>
    </xf>
    <xf numFmtId="0" fontId="0" fillId="0" borderId="0" xfId="9" quotePrefix="1" applyFont="1" applyFill="1" applyBorder="1" applyAlignment="1">
      <alignment horizontal="center"/>
    </xf>
    <xf numFmtId="38" fontId="0" fillId="0" borderId="0" xfId="0" applyNumberFormat="1" applyFont="1" applyFill="1" applyBorder="1"/>
    <xf numFmtId="38" fontId="0" fillId="0" borderId="0" xfId="1" applyNumberFormat="1" applyFont="1" applyFill="1" applyBorder="1"/>
    <xf numFmtId="164" fontId="0" fillId="0" borderId="0" xfId="6" applyNumberFormat="1" applyFont="1" applyFill="1" applyBorder="1"/>
    <xf numFmtId="0" fontId="0" fillId="0" borderId="17" xfId="9" applyFont="1" applyFill="1" applyBorder="1" applyAlignment="1">
      <alignment horizontal="center"/>
    </xf>
    <xf numFmtId="38" fontId="0" fillId="0" borderId="17" xfId="1" applyNumberFormat="1" applyFont="1" applyFill="1" applyBorder="1"/>
    <xf numFmtId="165" fontId="0" fillId="0" borderId="17" xfId="1" applyNumberFormat="1" applyFont="1" applyFill="1" applyBorder="1"/>
    <xf numFmtId="164" fontId="0" fillId="0" borderId="17" xfId="6" applyNumberFormat="1" applyFont="1" applyFill="1" applyBorder="1"/>
    <xf numFmtId="164" fontId="0" fillId="0" borderId="0" xfId="9" applyNumberFormat="1" applyFont="1" applyFill="1"/>
    <xf numFmtId="164" fontId="0" fillId="0" borderId="0" xfId="7" applyNumberFormat="1" applyFont="1" applyFill="1"/>
    <xf numFmtId="0" fontId="0" fillId="0" borderId="0" xfId="9" quotePrefix="1" applyFont="1" applyFill="1" applyAlignment="1">
      <alignment horizontal="left"/>
    </xf>
    <xf numFmtId="0" fontId="0" fillId="0" borderId="0" xfId="0" quotePrefix="1" applyFont="1" applyFill="1" applyBorder="1"/>
    <xf numFmtId="0" fontId="0" fillId="0" borderId="0" xfId="0" applyFont="1" applyFill="1" applyBorder="1"/>
    <xf numFmtId="0" fontId="24" fillId="0" borderId="0" xfId="0" applyFont="1" applyFill="1"/>
    <xf numFmtId="0" fontId="9" fillId="0" borderId="0" xfId="9" applyFont="1" applyFill="1" applyAlignment="1">
      <alignment horizontal="right"/>
    </xf>
    <xf numFmtId="0" fontId="9" fillId="0" borderId="0" xfId="9" applyFont="1" applyFill="1"/>
    <xf numFmtId="0" fontId="19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9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6" fillId="0" borderId="0" xfId="0" applyFont="1" applyFill="1"/>
    <xf numFmtId="0" fontId="8" fillId="0" borderId="0" xfId="0" applyFont="1"/>
    <xf numFmtId="0" fontId="5" fillId="0" borderId="16" xfId="9" applyFont="1" applyFill="1" applyBorder="1" applyAlignment="1">
      <alignment horizontal="center" vertical="center" wrapText="1"/>
    </xf>
    <xf numFmtId="10" fontId="16" fillId="0" borderId="16" xfId="9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9" applyFont="1" applyFill="1" applyAlignment="1">
      <alignment horizontal="center" vertical="center" wrapText="1"/>
    </xf>
    <xf numFmtId="0" fontId="5" fillId="0" borderId="16" xfId="1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5" fillId="0" borderId="16" xfId="9" quotePrefix="1" applyFont="1" applyFill="1" applyBorder="1" applyAlignment="1">
      <alignment horizontal="center"/>
    </xf>
    <xf numFmtId="0" fontId="9" fillId="2" borderId="0" xfId="0" quotePrefix="1" applyFont="1" applyFill="1"/>
    <xf numFmtId="164" fontId="0" fillId="0" borderId="0" xfId="0" applyNumberFormat="1" applyFont="1"/>
    <xf numFmtId="10" fontId="5" fillId="0" borderId="18" xfId="9" applyNumberFormat="1" applyFont="1" applyFill="1" applyBorder="1"/>
    <xf numFmtId="166" fontId="1" fillId="0" borderId="0" xfId="1" applyNumberFormat="1" applyFont="1" applyFill="1" applyAlignment="1">
      <alignment horizontal="center"/>
    </xf>
    <xf numFmtId="172" fontId="1" fillId="0" borderId="0" xfId="1" applyNumberFormat="1" applyFont="1" applyFill="1" applyBorder="1" applyAlignment="1" applyProtection="1">
      <alignment horizontal="center"/>
    </xf>
    <xf numFmtId="0" fontId="0" fillId="0" borderId="0" xfId="0" quotePrefix="1" applyFill="1"/>
    <xf numFmtId="0" fontId="0" fillId="0" borderId="0" xfId="9" applyFont="1" applyFill="1" applyBorder="1"/>
    <xf numFmtId="172" fontId="1" fillId="0" borderId="0" xfId="0" applyNumberFormat="1" applyFont="1" applyFill="1" applyBorder="1" applyAlignment="1" applyProtection="1">
      <alignment horizontal="center"/>
    </xf>
    <xf numFmtId="172" fontId="1" fillId="0" borderId="16" xfId="1" applyNumberFormat="1" applyFont="1" applyFill="1" applyBorder="1" applyAlignment="1" applyProtection="1">
      <alignment horizontal="center"/>
    </xf>
    <xf numFmtId="168" fontId="19" fillId="0" borderId="2" xfId="0" applyNumberFormat="1" applyFont="1" applyFill="1" applyBorder="1"/>
    <xf numFmtId="0" fontId="5" fillId="0" borderId="0" xfId="9" applyFont="1" applyFill="1" applyBorder="1" applyAlignment="1">
      <alignment horizontal="center" vertical="center" wrapText="1"/>
    </xf>
    <xf numFmtId="10" fontId="16" fillId="0" borderId="0" xfId="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0" applyFont="1" applyFill="1" applyBorder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166" fontId="1" fillId="0" borderId="0" xfId="1" applyNumberFormat="1" applyFont="1" applyFill="1" applyAlignment="1"/>
    <xf numFmtId="166" fontId="1" fillId="0" borderId="0" xfId="1" applyNumberFormat="1" applyFont="1" applyFill="1" applyBorder="1" applyAlignment="1"/>
    <xf numFmtId="0" fontId="28" fillId="0" borderId="0" xfId="0" applyFont="1"/>
    <xf numFmtId="0" fontId="29" fillId="0" borderId="0" xfId="0" applyFont="1"/>
    <xf numFmtId="0" fontId="0" fillId="0" borderId="0" xfId="0" applyFont="1" applyFill="1"/>
    <xf numFmtId="0" fontId="0" fillId="0" borderId="0" xfId="0" applyFont="1" applyBorder="1"/>
    <xf numFmtId="10" fontId="15" fillId="0" borderId="0" xfId="7" applyNumberFormat="1" applyFont="1" applyFill="1"/>
    <xf numFmtId="10" fontId="16" fillId="0" borderId="4" xfId="7" applyNumberFormat="1" applyFont="1" applyFill="1" applyBorder="1"/>
    <xf numFmtId="10" fontId="15" fillId="0" borderId="0" xfId="7" quotePrefix="1" applyNumberFormat="1" applyFont="1" applyFill="1" applyAlignment="1">
      <alignment horizontal="right"/>
    </xf>
    <xf numFmtId="167" fontId="5" fillId="0" borderId="4" xfId="0" applyNumberFormat="1" applyFont="1" applyBorder="1" applyAlignment="1">
      <alignment horizontal="right"/>
    </xf>
    <xf numFmtId="0" fontId="28" fillId="0" borderId="0" xfId="0" applyFont="1" applyFill="1"/>
    <xf numFmtId="167" fontId="0" fillId="0" borderId="4" xfId="0" quotePrefix="1" applyNumberFormat="1" applyBorder="1" applyAlignment="1">
      <alignment horizontal="right"/>
    </xf>
    <xf numFmtId="168" fontId="5" fillId="0" borderId="16" xfId="9" quotePrefix="1" applyNumberFormat="1" applyFont="1" applyFill="1" applyBorder="1" applyAlignment="1">
      <alignment horizontal="center"/>
    </xf>
    <xf numFmtId="167" fontId="0" fillId="0" borderId="1" xfId="0" quotePrefix="1" applyNumberFormat="1" applyBorder="1" applyAlignment="1">
      <alignment horizontal="right"/>
    </xf>
    <xf numFmtId="0" fontId="5" fillId="0" borderId="0" xfId="9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0" fillId="0" borderId="1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27" fillId="2" borderId="0" xfId="0" applyFont="1" applyFill="1" applyAlignment="1">
      <alignment horizontal="center"/>
    </xf>
  </cellXfs>
  <cellStyles count="11">
    <cellStyle name="Bad" xfId="8" builtinId="27"/>
    <cellStyle name="Comma" xfId="1" builtinId="3"/>
    <cellStyle name="Comma 3 2" xfId="4" xr:uid="{00000000-0005-0000-0000-000002000000}"/>
    <cellStyle name="Normal" xfId="0" builtinId="0"/>
    <cellStyle name="Normal 13" xfId="2" xr:uid="{00000000-0005-0000-0000-000004000000}"/>
    <cellStyle name="Normal 17" xfId="5" xr:uid="{00000000-0005-0000-0000-000005000000}"/>
    <cellStyle name="Normal_Copy of Kings.reserve.1205.Scenario 1 FINAL2" xfId="9" xr:uid="{00000000-0005-0000-0000-000006000000}"/>
    <cellStyle name="Normal_Sheet1" xfId="10" xr:uid="{00000000-0005-0000-0000-000007000000}"/>
    <cellStyle name="Percent" xfId="7" builtinId="5"/>
    <cellStyle name="Percent 2" xfId="6" xr:uid="{00000000-0005-0000-0000-000009000000}"/>
    <cellStyle name="Percent 4" xfId="3" xr:uid="{00000000-0005-0000-0000-00000A000000}"/>
  </cellStyles>
  <dxfs count="0"/>
  <tableStyles count="0" defaultTableStyle="TableStyleMedium2" defaultPivotStyle="PivotStyleLight16"/>
  <colors>
    <mruColors>
      <color rgb="FF0000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usernames" Target="revisions/userNam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129</xdr:row>
      <xdr:rowOff>47625</xdr:rowOff>
    </xdr:from>
    <xdr:to>
      <xdr:col>23</xdr:col>
      <xdr:colOff>428625</xdr:colOff>
      <xdr:row>136</xdr:row>
      <xdr:rowOff>57150</xdr:rowOff>
    </xdr:to>
    <xdr:grpSp>
      <xdr:nvGrpSpPr>
        <xdr:cNvPr id="2" name="Groupe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6421100" y="25688925"/>
          <a:ext cx="495300" cy="1343025"/>
          <a:chOff x="3819525" y="23402925"/>
          <a:chExt cx="1285875" cy="1533525"/>
        </a:xfrm>
      </xdr:grpSpPr>
      <xdr:grpSp>
        <xdr:nvGrpSpPr>
          <xdr:cNvPr id="3" name="Groupe 1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819525" y="23583901"/>
            <a:ext cx="1285875" cy="1352549"/>
            <a:chOff x="3819525" y="23583901"/>
            <a:chExt cx="1285875" cy="1352549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3819525" y="23783587"/>
              <a:ext cx="1274790" cy="113111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  <xdr:cxnSp macro="">
          <xdr:nvCxnSpPr>
            <xdr:cNvPr id="8" name="Straight Connector 2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CxnSpPr/>
          </xdr:nvCxnSpPr>
          <xdr:spPr>
            <a:xfrm flipV="1">
              <a:off x="3819525" y="23772711"/>
              <a:ext cx="1285875" cy="116373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Straight Connector 3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CxnSpPr/>
          </xdr:nvCxnSpPr>
          <xdr:spPr>
            <a:xfrm>
              <a:off x="4251845" y="23783587"/>
              <a:ext cx="0" cy="1131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" name="Left Brace 4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 rot="5400000">
              <a:off x="4572320" y="23250715"/>
              <a:ext cx="184893" cy="859098"/>
            </a:xfrm>
            <a:prstGeom prst="leftBrac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</xdr:grp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4573314" y="23402925"/>
            <a:ext cx="227245" cy="261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lang="en-US" sz="800" baseline="0"/>
              <a:t>x</a:t>
            </a:r>
          </a:p>
        </xdr:txBody>
      </xdr:sp>
      <xdr:sp macro="" textlink="">
        <xdr:nvSpPr>
          <xdr:cNvPr id="5" name="TextBox 6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3902663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  <xdr:sp macro="" textlink="">
        <xdr:nvSpPr>
          <xdr:cNvPr id="6" name="TextBox 7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4434750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</xdr:grpSp>
    <xdr:clientData/>
  </xdr:twoCellAnchor>
  <xdr:twoCellAnchor>
    <xdr:from>
      <xdr:col>30</xdr:col>
      <xdr:colOff>0</xdr:colOff>
      <xdr:row>129</xdr:row>
      <xdr:rowOff>47625</xdr:rowOff>
    </xdr:from>
    <xdr:to>
      <xdr:col>31</xdr:col>
      <xdr:colOff>0</xdr:colOff>
      <xdr:row>136</xdr:row>
      <xdr:rowOff>57150</xdr:rowOff>
    </xdr:to>
    <xdr:grpSp>
      <xdr:nvGrpSpPr>
        <xdr:cNvPr id="11" name="Groupe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23060025" y="25688925"/>
          <a:ext cx="247650" cy="1343025"/>
          <a:chOff x="3819525" y="23402925"/>
          <a:chExt cx="1285875" cy="1533525"/>
        </a:xfrm>
      </xdr:grpSpPr>
      <xdr:grpSp>
        <xdr:nvGrpSpPr>
          <xdr:cNvPr id="12" name="Groupe 15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pSpPr>
            <a:grpSpLocks/>
          </xdr:cNvGrpSpPr>
        </xdr:nvGrpSpPr>
        <xdr:grpSpPr bwMode="auto">
          <a:xfrm>
            <a:off x="3819525" y="23583901"/>
            <a:ext cx="1285875" cy="1352549"/>
            <a:chOff x="3819525" y="23583901"/>
            <a:chExt cx="1285875" cy="1352549"/>
          </a:xfrm>
        </xdr:grpSpPr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3819525" y="23783587"/>
              <a:ext cx="1274790" cy="113111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  <xdr:cxnSp macro="">
          <xdr:nvCxnSpPr>
            <xdr:cNvPr id="17" name="Straight Connector 2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 flipV="1">
              <a:off x="3819525" y="23772711"/>
              <a:ext cx="1285875" cy="116373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Straight Connector 3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CxnSpPr/>
          </xdr:nvCxnSpPr>
          <xdr:spPr>
            <a:xfrm>
              <a:off x="4251845" y="23783587"/>
              <a:ext cx="0" cy="1131111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Left Brace 4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>
            <a:xfrm rot="5400000">
              <a:off x="4572320" y="23250715"/>
              <a:ext cx="184893" cy="859098"/>
            </a:xfrm>
            <a:prstGeom prst="leftBrac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endParaRPr lang="en-CA"/>
            </a:p>
          </xdr:txBody>
        </xdr:sp>
      </xdr:grpSp>
      <xdr:sp macro="" textlink="">
        <xdr:nvSpPr>
          <xdr:cNvPr id="13" name="TextBox 5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4573314" y="23402925"/>
            <a:ext cx="227245" cy="2610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r>
              <a:rPr lang="en-US" sz="800" baseline="0"/>
              <a:t>x</a:t>
            </a:r>
          </a:p>
        </xdr:txBody>
      </xdr:sp>
      <xdr:sp macro="" textlink="">
        <xdr:nvSpPr>
          <xdr:cNvPr id="14" name="TextBox 6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3902663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  <xdr:sp macro="" textlink="">
        <xdr:nvSpPr>
          <xdr:cNvPr id="15" name="TextBox 7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4434750" y="23914100"/>
            <a:ext cx="133022" cy="21752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800" baseline="0"/>
              <a:t>36</a:t>
            </a:r>
          </a:p>
        </xdr:txBody>
      </xdr:sp>
    </xdr:grp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1.xml"/><Relationship Id="rId10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5537A97-7902-4C87-8A51-A4E757DBE5B8}" diskRevisions="1" revisionId="51" version="2">
  <header guid="{5302ABA0-9A7B-4816-958E-C1A774C6F7AF}" dateTime="2016-06-24T09:30:06" maxSheetId="5" userName="Josee Racette" r:id="rId10">
    <sheetIdMap count="4">
      <sheetId val="1"/>
      <sheetId val="2"/>
      <sheetId val="3"/>
      <sheetId val="4"/>
    </sheetIdMap>
  </header>
  <header guid="{55537A97-7902-4C87-8A51-A4E757DBE5B8}" dateTime="2018-10-14T16:05:58" maxSheetId="5" userName="Diane Bradley" r:id="rId11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020FDF89_1AED_46D2_96B6_2FF201CB5CDD_.wvu.PrintArea" hidden="1" oldHidden="1">
    <formula>GrossPremLiab!$A$1:$AQ$43</formula>
  </rdn>
  <rdn rId="0" localSheetId="2" customView="1" name="Z_020FDF89_1AED_46D2_96B6_2FF201CB5CDD_.wvu.PrintArea" hidden="1" oldHidden="1">
    <formula>GrossMisc!$A$1:$AE$47</formula>
  </rdn>
  <rdn rId="0" localSheetId="3" customView="1" name="Z_020FDF89_1AED_46D2_96B6_2FF201CB5CDD_.wvu.PrintArea" hidden="1" oldHidden="1">
    <formula>NetPremLiab!$A$1:$AQ$43</formula>
  </rdn>
  <rdn rId="0" localSheetId="4" customView="1" name="Z_020FDF89_1AED_46D2_96B6_2FF201CB5CDD_.wvu.PrintArea" hidden="1" oldHidden="1">
    <formula>Opinion!$B$2:$F$35</formula>
  </rdn>
  <rcv guid="{020FDF89-1AED-46D2-96B6-2FF201CB5CDD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4" cell="D7" guid="{00000000-0000-0000-0000-000000000000}" action="delete" alwaysShow="1" author="Bonnie Robinson"/>
  <rdn rId="0" localSheetId="1" customView="1" name="Z_1E3D3DC7_1899_4018_BCDC_6919FAD5C5D1_.wvu.PrintArea" hidden="1" oldHidden="1">
    <formula>GrossPremLiab!$A$1:$AQ$43</formula>
  </rdn>
  <rdn rId="0" localSheetId="2" customView="1" name="Z_1E3D3DC7_1899_4018_BCDC_6919FAD5C5D1_.wvu.PrintArea" hidden="1" oldHidden="1">
    <formula>GrossMisc!$A$1:$AE$47</formula>
  </rdn>
  <rdn rId="0" localSheetId="3" customView="1" name="Z_1E3D3DC7_1899_4018_BCDC_6919FAD5C5D1_.wvu.PrintArea" hidden="1" oldHidden="1">
    <formula>NetPremLiab!$A$1:$AQ$43</formula>
  </rdn>
  <rdn rId="0" localSheetId="4" customView="1" name="Z_1E3D3DC7_1899_4018_BCDC_6919FAD5C5D1_.wvu.PrintArea" hidden="1" oldHidden="1">
    <formula>Opinion!$B$2:$F$35</formula>
  </rdn>
  <rcv guid="{1E3D3DC7-1899-4018-BCDC-6919FAD5C5D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3"/>
  <sheetViews>
    <sheetView view="pageBreakPreview" zoomScaleNormal="75" zoomScaleSheetLayoutView="100" workbookViewId="0">
      <selection activeCell="X9" sqref="X9"/>
    </sheetView>
  </sheetViews>
  <sheetFormatPr defaultRowHeight="14.5" x14ac:dyDescent="0.35"/>
  <cols>
    <col min="1" max="1" width="5.26953125" customWidth="1"/>
    <col min="2" max="2" width="30.7265625" customWidth="1"/>
    <col min="3" max="7" width="9.7265625" customWidth="1"/>
    <col min="8" max="10" width="10.7265625" customWidth="1"/>
    <col min="11" max="11" width="11.54296875" style="67" customWidth="1"/>
    <col min="12" max="12" width="10.54296875" style="67" customWidth="1"/>
    <col min="13" max="13" width="10.453125" bestFit="1" customWidth="1"/>
    <col min="14" max="15" width="5.26953125" customWidth="1"/>
    <col min="16" max="16" width="30.7265625" customWidth="1"/>
    <col min="17" max="17" width="9.7265625" customWidth="1"/>
    <col min="18" max="18" width="11.1796875" customWidth="1"/>
    <col min="19" max="19" width="9.7265625" customWidth="1"/>
    <col min="20" max="20" width="11.7265625" customWidth="1"/>
    <col min="21" max="23" width="9.7265625" customWidth="1"/>
    <col min="24" max="24" width="10.81640625" customWidth="1"/>
    <col min="25" max="27" width="9.54296875" customWidth="1"/>
    <col min="28" max="28" width="11.7265625" style="9" customWidth="1"/>
    <col min="29" max="30" width="5.26953125" customWidth="1"/>
    <col min="31" max="31" width="30.7265625" customWidth="1"/>
    <col min="32" max="39" width="11.7265625" customWidth="1"/>
    <col min="40" max="41" width="10.7265625" customWidth="1"/>
    <col min="42" max="42" width="11.7265625" customWidth="1"/>
    <col min="43" max="43" width="5.26953125" customWidth="1"/>
    <col min="44" max="45" width="10.7265625" customWidth="1"/>
    <col min="46" max="46" width="2.7265625" style="25" customWidth="1"/>
    <col min="47" max="47" width="11.7265625" customWidth="1"/>
    <col min="48" max="48" width="10.7265625" customWidth="1"/>
  </cols>
  <sheetData>
    <row r="1" spans="1:47" ht="18.5" x14ac:dyDescent="0.45">
      <c r="N1" s="36" t="s">
        <v>48</v>
      </c>
      <c r="AB1" s="36"/>
      <c r="AC1" s="36" t="str">
        <f>N1</f>
        <v>Appendix B</v>
      </c>
      <c r="AQ1" s="36" t="str">
        <f>AC1</f>
        <v>Appendix B</v>
      </c>
      <c r="AS1" s="33"/>
    </row>
    <row r="2" spans="1:47" ht="18.5" x14ac:dyDescent="0.45">
      <c r="A2" s="1"/>
      <c r="B2" s="32" t="s">
        <v>39</v>
      </c>
      <c r="C2" s="2"/>
      <c r="D2" s="1"/>
      <c r="E2" s="1"/>
      <c r="F2" s="1"/>
      <c r="G2" s="1"/>
      <c r="H2" s="1"/>
      <c r="I2" s="1"/>
      <c r="J2" s="1"/>
      <c r="N2" s="36" t="s">
        <v>49</v>
      </c>
      <c r="O2" s="1"/>
      <c r="P2" s="32" t="s">
        <v>39</v>
      </c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36"/>
      <c r="AC2" s="36" t="s">
        <v>50</v>
      </c>
      <c r="AD2" s="1"/>
      <c r="AE2" s="32" t="s">
        <v>39</v>
      </c>
      <c r="AF2" s="2"/>
      <c r="AG2" s="1"/>
      <c r="AH2" s="2"/>
      <c r="AI2" s="1"/>
      <c r="AJ2" s="1"/>
      <c r="AK2" s="1"/>
      <c r="AL2" s="1"/>
      <c r="AM2" s="1"/>
      <c r="AN2" s="1"/>
      <c r="AO2" s="1"/>
      <c r="AQ2" s="36" t="s">
        <v>51</v>
      </c>
      <c r="AR2" s="1"/>
      <c r="AS2" s="33"/>
      <c r="AT2" s="24"/>
    </row>
    <row r="3" spans="1:47" s="25" customFormat="1" ht="18" customHeight="1" x14ac:dyDescent="0.4">
      <c r="A3" s="24"/>
      <c r="B3" s="32" t="str">
        <f>P3</f>
        <v>Premium Liabilities Analysis</v>
      </c>
      <c r="C3" s="32"/>
      <c r="D3" s="24"/>
      <c r="E3" s="24"/>
      <c r="F3" s="24"/>
      <c r="G3" s="24"/>
      <c r="H3" s="24"/>
      <c r="I3" s="33"/>
      <c r="J3" s="33"/>
      <c r="K3" s="68"/>
      <c r="L3" s="68"/>
      <c r="N3" s="24"/>
      <c r="O3" s="24"/>
      <c r="P3" s="32" t="s">
        <v>136</v>
      </c>
      <c r="Q3" s="32"/>
      <c r="R3" s="32"/>
      <c r="S3" s="24"/>
      <c r="T3" s="24"/>
      <c r="U3" s="24"/>
      <c r="V3" s="24"/>
      <c r="W3" s="24"/>
      <c r="X3" s="24"/>
      <c r="Y3" s="24"/>
      <c r="Z3" s="33"/>
      <c r="AA3" s="33"/>
      <c r="AB3" s="34"/>
      <c r="AC3" s="24"/>
      <c r="AD3" s="24"/>
      <c r="AE3" s="32" t="str">
        <f>P3</f>
        <v>Premium Liabilities Analysis</v>
      </c>
      <c r="AF3" s="32"/>
      <c r="AG3" s="24"/>
      <c r="AH3" s="32"/>
      <c r="AI3" s="24"/>
      <c r="AJ3" s="24"/>
      <c r="AK3" s="24"/>
      <c r="AL3" s="24"/>
      <c r="AM3" s="24"/>
      <c r="AN3" s="24"/>
      <c r="AO3" s="24"/>
      <c r="AP3" s="24"/>
      <c r="AQ3" s="33"/>
      <c r="AR3" s="24"/>
      <c r="AS3" s="33"/>
      <c r="AT3" s="24"/>
    </row>
    <row r="4" spans="1:47" s="25" customFormat="1" ht="18" customHeight="1" x14ac:dyDescent="0.4">
      <c r="A4" s="24"/>
      <c r="B4" s="32" t="str">
        <f>P4</f>
        <v>Gross Basis</v>
      </c>
      <c r="C4" s="32"/>
      <c r="D4" s="24"/>
      <c r="E4" s="24"/>
      <c r="F4" s="24"/>
      <c r="G4" s="24"/>
      <c r="H4" s="24"/>
      <c r="I4" s="33"/>
      <c r="J4" s="33"/>
      <c r="K4" s="68"/>
      <c r="L4" s="68"/>
      <c r="N4" s="24"/>
      <c r="O4" s="24"/>
      <c r="P4" s="32" t="s">
        <v>134</v>
      </c>
      <c r="Q4" s="32"/>
      <c r="R4" s="32"/>
      <c r="S4" s="24"/>
      <c r="T4" s="24"/>
      <c r="U4" s="24"/>
      <c r="V4" s="24"/>
      <c r="W4" s="24"/>
      <c r="X4" s="24"/>
      <c r="Y4" s="24"/>
      <c r="Z4" s="33"/>
      <c r="AA4" s="33"/>
      <c r="AB4" s="34"/>
      <c r="AC4" s="24"/>
      <c r="AD4" s="24"/>
      <c r="AE4" s="32" t="str">
        <f>P4</f>
        <v>Gross Basis</v>
      </c>
      <c r="AF4" s="32"/>
      <c r="AG4" s="24"/>
      <c r="AH4" s="32"/>
      <c r="AI4" s="24"/>
      <c r="AJ4" s="24"/>
      <c r="AK4" s="24"/>
      <c r="AL4" s="24"/>
      <c r="AM4" s="24"/>
      <c r="AN4" s="24"/>
      <c r="AO4" s="24"/>
      <c r="AP4" s="24"/>
      <c r="AQ4" s="33"/>
      <c r="AR4" s="24"/>
      <c r="AS4" s="33"/>
      <c r="AT4" s="24"/>
    </row>
    <row r="5" spans="1:47" ht="18" x14ac:dyDescent="0.4">
      <c r="A5" s="1"/>
      <c r="B5" s="32" t="s">
        <v>44</v>
      </c>
      <c r="C5" s="3"/>
      <c r="D5" s="1"/>
      <c r="E5" s="1"/>
      <c r="F5" s="1"/>
      <c r="G5" s="1"/>
      <c r="H5" s="1"/>
      <c r="I5" s="30"/>
      <c r="J5" s="30"/>
      <c r="K5" s="69"/>
      <c r="L5" s="69"/>
      <c r="N5" s="1"/>
      <c r="O5" s="1"/>
      <c r="P5" s="32" t="s">
        <v>44</v>
      </c>
      <c r="Q5" s="3"/>
      <c r="R5" s="3"/>
      <c r="S5" s="24"/>
      <c r="T5" s="1"/>
      <c r="U5" s="1"/>
      <c r="V5" s="1"/>
      <c r="W5" s="1"/>
      <c r="X5" s="1"/>
      <c r="Y5" s="1"/>
      <c r="Z5" s="30"/>
      <c r="AA5" s="30"/>
      <c r="AB5" s="31"/>
      <c r="AC5" s="1"/>
      <c r="AD5" s="1"/>
      <c r="AE5" s="32" t="s">
        <v>44</v>
      </c>
      <c r="AF5" s="3"/>
      <c r="AG5" s="1"/>
      <c r="AH5" s="3"/>
      <c r="AI5" s="1"/>
      <c r="AJ5" s="1"/>
      <c r="AK5" s="1"/>
      <c r="AL5" s="1"/>
      <c r="AM5" s="1"/>
      <c r="AN5" s="1"/>
      <c r="AO5" s="1"/>
      <c r="AP5" s="1"/>
      <c r="AR5" s="1"/>
      <c r="AS5" s="30"/>
      <c r="AT5" s="24"/>
    </row>
    <row r="6" spans="1:47" ht="18" x14ac:dyDescent="0.4">
      <c r="A6" s="1"/>
      <c r="B6" s="32" t="s">
        <v>41</v>
      </c>
      <c r="C6" s="3"/>
      <c r="D6" s="1"/>
      <c r="E6" s="1"/>
      <c r="F6" s="1"/>
      <c r="G6" s="1"/>
      <c r="H6" s="1"/>
      <c r="I6" s="30"/>
      <c r="J6" s="30"/>
      <c r="K6" s="69"/>
      <c r="L6" s="69"/>
      <c r="N6" s="1"/>
      <c r="O6" s="1"/>
      <c r="P6" s="32" t="s">
        <v>41</v>
      </c>
      <c r="Q6" s="3"/>
      <c r="R6" s="3"/>
      <c r="S6" s="1"/>
      <c r="T6" s="1"/>
      <c r="U6" s="1"/>
      <c r="V6" s="1"/>
      <c r="W6" s="1"/>
      <c r="X6" s="1"/>
      <c r="Y6" s="1"/>
      <c r="Z6" s="30"/>
      <c r="AA6" s="30"/>
      <c r="AB6" s="31"/>
      <c r="AC6" s="1"/>
      <c r="AD6" s="1"/>
      <c r="AE6" s="32" t="s">
        <v>41</v>
      </c>
      <c r="AF6" s="3"/>
      <c r="AG6" s="1"/>
      <c r="AH6" s="3"/>
      <c r="AI6" s="1"/>
      <c r="AJ6" s="1"/>
      <c r="AK6" s="1"/>
      <c r="AL6" s="184" t="s">
        <v>227</v>
      </c>
      <c r="AM6" s="185"/>
      <c r="AN6" s="185"/>
      <c r="AO6" s="185"/>
      <c r="AP6" s="186"/>
      <c r="AR6" s="1"/>
      <c r="AS6" s="30"/>
      <c r="AT6" s="24"/>
    </row>
    <row r="7" spans="1:47" x14ac:dyDescent="0.35">
      <c r="AR7" s="1"/>
      <c r="AS7" s="30"/>
    </row>
    <row r="8" spans="1:47" x14ac:dyDescent="0.35">
      <c r="B8" s="19"/>
      <c r="C8" s="19">
        <v>-1</v>
      </c>
      <c r="D8" s="19">
        <f t="shared" ref="D8:E8" si="0">C8-1</f>
        <v>-2</v>
      </c>
      <c r="E8" s="19">
        <f t="shared" si="0"/>
        <v>-3</v>
      </c>
      <c r="F8" s="19">
        <f t="shared" ref="F8" si="1">E8-1</f>
        <v>-4</v>
      </c>
      <c r="G8" s="19">
        <f t="shared" ref="G8" si="2">F8-1</f>
        <v>-5</v>
      </c>
      <c r="H8" s="19">
        <f t="shared" ref="H8" si="3">G8-1</f>
        <v>-6</v>
      </c>
      <c r="I8" s="19">
        <f t="shared" ref="I8" si="4">H8-1</f>
        <v>-7</v>
      </c>
      <c r="J8" s="19">
        <f t="shared" ref="J8" si="5">I8-1</f>
        <v>-8</v>
      </c>
      <c r="K8" s="19">
        <f t="shared" ref="K8" si="6">J8-1</f>
        <v>-9</v>
      </c>
      <c r="L8" s="19">
        <f t="shared" ref="L8" si="7">K8-1</f>
        <v>-10</v>
      </c>
      <c r="M8" s="19">
        <f t="shared" ref="M8" si="8">L8-1</f>
        <v>-11</v>
      </c>
      <c r="P8" s="19"/>
      <c r="Q8" s="19">
        <f>M8-1</f>
        <v>-12</v>
      </c>
      <c r="R8" s="19">
        <f t="shared" ref="R8:AB8" si="9">Q8-1</f>
        <v>-13</v>
      </c>
      <c r="S8" s="19">
        <f t="shared" si="9"/>
        <v>-14</v>
      </c>
      <c r="T8" s="19">
        <f t="shared" si="9"/>
        <v>-15</v>
      </c>
      <c r="U8" s="19">
        <f t="shared" si="9"/>
        <v>-16</v>
      </c>
      <c r="V8" s="19">
        <f t="shared" si="9"/>
        <v>-17</v>
      </c>
      <c r="W8" s="19">
        <f t="shared" si="9"/>
        <v>-18</v>
      </c>
      <c r="X8" s="19">
        <f t="shared" si="9"/>
        <v>-19</v>
      </c>
      <c r="Y8" s="19">
        <f t="shared" si="9"/>
        <v>-20</v>
      </c>
      <c r="Z8" s="19">
        <f t="shared" si="9"/>
        <v>-21</v>
      </c>
      <c r="AA8" s="19">
        <f t="shared" si="9"/>
        <v>-22</v>
      </c>
      <c r="AB8" s="19">
        <f t="shared" si="9"/>
        <v>-23</v>
      </c>
      <c r="AE8" s="19"/>
      <c r="AF8" s="19">
        <f>AB8-1</f>
        <v>-24</v>
      </c>
      <c r="AG8" s="19">
        <f>AF8-1</f>
        <v>-25</v>
      </c>
      <c r="AH8" s="19">
        <f t="shared" ref="AH8:AP8" si="10">AG8-1</f>
        <v>-26</v>
      </c>
      <c r="AI8" s="19">
        <f t="shared" si="10"/>
        <v>-27</v>
      </c>
      <c r="AJ8" s="19">
        <f t="shared" si="10"/>
        <v>-28</v>
      </c>
      <c r="AK8" s="19">
        <f t="shared" si="10"/>
        <v>-29</v>
      </c>
      <c r="AL8" s="19">
        <f t="shared" si="10"/>
        <v>-30</v>
      </c>
      <c r="AM8" s="19">
        <f t="shared" si="10"/>
        <v>-31</v>
      </c>
      <c r="AN8" s="19">
        <f t="shared" si="10"/>
        <v>-32</v>
      </c>
      <c r="AO8" s="19">
        <f t="shared" si="10"/>
        <v>-33</v>
      </c>
      <c r="AP8" s="19">
        <f t="shared" si="10"/>
        <v>-34</v>
      </c>
      <c r="AR8" s="1"/>
      <c r="AS8" s="30"/>
      <c r="AT8" s="26"/>
    </row>
    <row r="9" spans="1:47" ht="75" customHeight="1" x14ac:dyDescent="0.35">
      <c r="B9" s="13" t="s">
        <v>28</v>
      </c>
      <c r="C9" s="14" t="s">
        <v>32</v>
      </c>
      <c r="D9" s="14" t="s">
        <v>33</v>
      </c>
      <c r="E9" s="14" t="s">
        <v>34</v>
      </c>
      <c r="F9" s="14" t="s">
        <v>35</v>
      </c>
      <c r="G9" s="14" t="s">
        <v>29</v>
      </c>
      <c r="H9" s="14" t="s">
        <v>243</v>
      </c>
      <c r="I9" s="14" t="s">
        <v>246</v>
      </c>
      <c r="J9" s="70" t="s">
        <v>164</v>
      </c>
      <c r="K9" s="70" t="s">
        <v>212</v>
      </c>
      <c r="L9" s="70" t="s">
        <v>162</v>
      </c>
      <c r="M9" s="14" t="s">
        <v>87</v>
      </c>
      <c r="P9" s="21" t="s">
        <v>28</v>
      </c>
      <c r="Q9" s="22" t="s">
        <v>169</v>
      </c>
      <c r="R9" s="22" t="s">
        <v>84</v>
      </c>
      <c r="S9" s="22" t="s">
        <v>173</v>
      </c>
      <c r="T9" s="22" t="s">
        <v>174</v>
      </c>
      <c r="U9" s="22" t="s">
        <v>85</v>
      </c>
      <c r="V9" s="22" t="s">
        <v>247</v>
      </c>
      <c r="W9" s="22" t="s">
        <v>248</v>
      </c>
      <c r="X9" s="22" t="s">
        <v>82</v>
      </c>
      <c r="Y9" s="22" t="s">
        <v>30</v>
      </c>
      <c r="Z9" s="22" t="s">
        <v>31</v>
      </c>
      <c r="AA9" s="22" t="s">
        <v>38</v>
      </c>
      <c r="AB9" s="23" t="s">
        <v>86</v>
      </c>
      <c r="AE9" s="21" t="s">
        <v>28</v>
      </c>
      <c r="AF9" s="22" t="s">
        <v>244</v>
      </c>
      <c r="AG9" s="22" t="s">
        <v>36</v>
      </c>
      <c r="AH9" s="22" t="s">
        <v>245</v>
      </c>
      <c r="AI9" s="22" t="s">
        <v>37</v>
      </c>
      <c r="AJ9" s="22" t="s">
        <v>77</v>
      </c>
      <c r="AK9" s="22" t="s">
        <v>224</v>
      </c>
      <c r="AL9" s="22" t="s">
        <v>161</v>
      </c>
      <c r="AM9" s="22" t="s">
        <v>230</v>
      </c>
      <c r="AN9" s="22" t="s">
        <v>52</v>
      </c>
      <c r="AO9" s="22" t="s">
        <v>42</v>
      </c>
      <c r="AP9" s="22" t="s">
        <v>43</v>
      </c>
      <c r="AR9" s="1"/>
      <c r="AS9" s="30"/>
      <c r="AT9" s="27"/>
    </row>
    <row r="10" spans="1:47" x14ac:dyDescent="0.35">
      <c r="B10" s="4" t="s">
        <v>11</v>
      </c>
      <c r="C10" s="5">
        <v>10000</v>
      </c>
      <c r="D10" s="5">
        <v>0</v>
      </c>
      <c r="E10" s="5">
        <f>C10+D10</f>
        <v>10000</v>
      </c>
      <c r="F10" s="104" t="s">
        <v>83</v>
      </c>
      <c r="G10" s="5">
        <f>IFERROR(E10-F10,E10)</f>
        <v>10000</v>
      </c>
      <c r="H10" s="104" t="s">
        <v>83</v>
      </c>
      <c r="I10" s="151">
        <f>GrossMisc!K30</f>
        <v>0.85</v>
      </c>
      <c r="J10" s="103">
        <f>IF(H10="--",G10*I10,I10*(G10-H10))</f>
        <v>8500</v>
      </c>
      <c r="K10" s="173">
        <v>4.4999999999999998E-2</v>
      </c>
      <c r="L10" s="106">
        <f>IFERROR(K10*J10,0)</f>
        <v>382.5</v>
      </c>
      <c r="M10" s="103">
        <f>L10+J10</f>
        <v>8882.5</v>
      </c>
      <c r="P10" s="4" t="str">
        <f t="shared" ref="P10:P31" si="11">B10</f>
        <v>Personal Property</v>
      </c>
      <c r="Q10" s="8">
        <f>GrossMisc!S30</f>
        <v>0.98326072200654457</v>
      </c>
      <c r="R10" s="5">
        <f t="shared" ref="R10:R30" si="12">IFERROR(Q10*M10,0)</f>
        <v>8733.8133632231329</v>
      </c>
      <c r="S10" s="8">
        <f>GrossMisc!V30</f>
        <v>0.98676128425749532</v>
      </c>
      <c r="T10" s="5">
        <f t="shared" ref="T10:T30" si="13">IF(S10="--", 0,M10*S10)</f>
        <v>8764.9071074172025</v>
      </c>
      <c r="U10" s="5">
        <f t="shared" ref="U10:U30" si="14">T10-R10</f>
        <v>31.093744194069586</v>
      </c>
      <c r="V10" s="6">
        <v>7.0000000000000007E-2</v>
      </c>
      <c r="W10" s="5">
        <f t="shared" ref="W10:W30" si="15">V10*R10</f>
        <v>611.36693542561932</v>
      </c>
      <c r="X10" s="104" t="s">
        <v>83</v>
      </c>
      <c r="Y10" s="104" t="s">
        <v>83</v>
      </c>
      <c r="Z10" s="104" t="s">
        <v>83</v>
      </c>
      <c r="AA10" s="5">
        <f>IF(Z10="--",U10+W10,U10+W10+Z10)</f>
        <v>642.4606796196889</v>
      </c>
      <c r="AB10" s="10">
        <f t="shared" ref="AB10:AB30" si="16">R10+AA10</f>
        <v>9376.2740428428224</v>
      </c>
      <c r="AE10" s="4" t="str">
        <f t="shared" ref="AE10:AE31" si="17">P10</f>
        <v>Personal Property</v>
      </c>
      <c r="AF10" s="11">
        <f>GrossMisc!AD30</f>
        <v>0.03</v>
      </c>
      <c r="AG10" s="10">
        <f t="shared" ref="AG10:AG30" si="18">E10*AF10</f>
        <v>300</v>
      </c>
      <c r="AH10" s="7">
        <v>0</v>
      </c>
      <c r="AI10" s="10">
        <f t="shared" ref="AI10:AI30" si="19">E10*AH10</f>
        <v>0</v>
      </c>
      <c r="AJ10" s="10">
        <f t="shared" ref="AJ10:AJ30" si="20">IF(H10="--",AB10+AG10+AI10,AB10+AG10+AI10+H10)</f>
        <v>9676.2740428428224</v>
      </c>
      <c r="AK10" s="104" t="s">
        <v>83</v>
      </c>
      <c r="AL10" s="10"/>
      <c r="AM10" s="10"/>
      <c r="AN10" s="10"/>
      <c r="AO10" s="10"/>
      <c r="AP10" s="10"/>
      <c r="AR10" s="1"/>
      <c r="AS10" s="30"/>
      <c r="AT10" s="28"/>
      <c r="AU10" s="5"/>
    </row>
    <row r="11" spans="1:47" x14ac:dyDescent="0.35">
      <c r="B11" s="4" t="s">
        <v>2</v>
      </c>
      <c r="C11" s="5">
        <v>0</v>
      </c>
      <c r="D11" s="5">
        <v>0</v>
      </c>
      <c r="E11" s="5">
        <f t="shared" ref="E11:E30" si="21">C11+D11</f>
        <v>0</v>
      </c>
      <c r="F11" s="104" t="s">
        <v>83</v>
      </c>
      <c r="G11" s="5">
        <f t="shared" ref="G11:G30" si="22">IFERROR(E11-F11,E11)</f>
        <v>0</v>
      </c>
      <c r="H11" s="104" t="s">
        <v>83</v>
      </c>
      <c r="I11" s="6">
        <v>0</v>
      </c>
      <c r="J11" s="103">
        <f t="shared" ref="J11:J30" si="23">IF(H11="--",G11*I11,I11*(G11-H11))</f>
        <v>0</v>
      </c>
      <c r="K11" s="173">
        <f>K10</f>
        <v>4.4999999999999998E-2</v>
      </c>
      <c r="L11" s="106">
        <f t="shared" ref="L11:L30" si="24">IFERROR(K11*J11,0)</f>
        <v>0</v>
      </c>
      <c r="M11" s="103">
        <f t="shared" ref="M11:M30" si="25">L11+J11</f>
        <v>0</v>
      </c>
      <c r="P11" s="4" t="str">
        <f t="shared" si="11"/>
        <v>Commercial Property</v>
      </c>
      <c r="Q11" s="8" t="s">
        <v>83</v>
      </c>
      <c r="R11" s="5">
        <f t="shared" si="12"/>
        <v>0</v>
      </c>
      <c r="S11" s="8" t="s">
        <v>83</v>
      </c>
      <c r="T11" s="5">
        <f t="shared" si="13"/>
        <v>0</v>
      </c>
      <c r="U11" s="5">
        <f t="shared" si="14"/>
        <v>0</v>
      </c>
      <c r="V11" s="6">
        <v>0</v>
      </c>
      <c r="W11" s="5">
        <f t="shared" si="15"/>
        <v>0</v>
      </c>
      <c r="X11" s="104" t="s">
        <v>83</v>
      </c>
      <c r="Y11" s="104" t="s">
        <v>83</v>
      </c>
      <c r="Z11" s="104" t="s">
        <v>83</v>
      </c>
      <c r="AA11" s="5">
        <f t="shared" ref="AA11:AA30" si="26">IF(Z11="--",U11+W11,U11+W11+Z11)</f>
        <v>0</v>
      </c>
      <c r="AB11" s="10">
        <f t="shared" si="16"/>
        <v>0</v>
      </c>
      <c r="AE11" s="4" t="str">
        <f t="shared" si="17"/>
        <v>Commercial Property</v>
      </c>
      <c r="AF11" s="11">
        <f>AF10</f>
        <v>0.03</v>
      </c>
      <c r="AG11" s="10">
        <f t="shared" si="18"/>
        <v>0</v>
      </c>
      <c r="AH11" s="7">
        <v>0</v>
      </c>
      <c r="AI11" s="10">
        <f t="shared" si="19"/>
        <v>0</v>
      </c>
      <c r="AJ11" s="10">
        <f t="shared" si="20"/>
        <v>0</v>
      </c>
      <c r="AK11" s="104" t="s">
        <v>83</v>
      </c>
      <c r="AL11" s="10"/>
      <c r="AM11" s="10"/>
      <c r="AN11" s="10"/>
      <c r="AO11" s="10"/>
      <c r="AP11" s="10"/>
      <c r="AR11" s="1"/>
      <c r="AS11" s="30"/>
      <c r="AU11" s="5"/>
    </row>
    <row r="12" spans="1:47" x14ac:dyDescent="0.35">
      <c r="B12" s="4" t="s">
        <v>3</v>
      </c>
      <c r="C12" s="5">
        <v>0</v>
      </c>
      <c r="D12" s="5">
        <v>0</v>
      </c>
      <c r="E12" s="5">
        <f t="shared" si="21"/>
        <v>0</v>
      </c>
      <c r="F12" s="104" t="s">
        <v>83</v>
      </c>
      <c r="G12" s="5">
        <f t="shared" si="22"/>
        <v>0</v>
      </c>
      <c r="H12" s="104" t="s">
        <v>83</v>
      </c>
      <c r="I12" s="6">
        <v>0</v>
      </c>
      <c r="J12" s="103">
        <f t="shared" si="23"/>
        <v>0</v>
      </c>
      <c r="K12" s="173">
        <f t="shared" ref="K12:K30" si="27">K11</f>
        <v>4.4999999999999998E-2</v>
      </c>
      <c r="L12" s="106">
        <f t="shared" si="24"/>
        <v>0</v>
      </c>
      <c r="M12" s="103">
        <f t="shared" si="25"/>
        <v>0</v>
      </c>
      <c r="P12" s="4" t="str">
        <f t="shared" si="11"/>
        <v>Aircraft</v>
      </c>
      <c r="Q12" s="8" t="s">
        <v>83</v>
      </c>
      <c r="R12" s="5">
        <f t="shared" si="12"/>
        <v>0</v>
      </c>
      <c r="S12" s="8" t="s">
        <v>83</v>
      </c>
      <c r="T12" s="5">
        <f t="shared" si="13"/>
        <v>0</v>
      </c>
      <c r="U12" s="5">
        <f t="shared" si="14"/>
        <v>0</v>
      </c>
      <c r="V12" s="6">
        <v>0</v>
      </c>
      <c r="W12" s="5">
        <f t="shared" si="15"/>
        <v>0</v>
      </c>
      <c r="X12" s="104" t="s">
        <v>83</v>
      </c>
      <c r="Y12" s="104" t="s">
        <v>83</v>
      </c>
      <c r="Z12" s="104" t="s">
        <v>83</v>
      </c>
      <c r="AA12" s="5">
        <f t="shared" si="26"/>
        <v>0</v>
      </c>
      <c r="AB12" s="10">
        <f t="shared" si="16"/>
        <v>0</v>
      </c>
      <c r="AE12" s="4" t="str">
        <f t="shared" si="17"/>
        <v>Aircraft</v>
      </c>
      <c r="AF12" s="11">
        <f t="shared" ref="AF12:AF28" si="28">AF11</f>
        <v>0.03</v>
      </c>
      <c r="AG12" s="10">
        <f t="shared" si="18"/>
        <v>0</v>
      </c>
      <c r="AH12" s="7">
        <v>0</v>
      </c>
      <c r="AI12" s="10">
        <f t="shared" si="19"/>
        <v>0</v>
      </c>
      <c r="AJ12" s="10">
        <f t="shared" si="20"/>
        <v>0</v>
      </c>
      <c r="AK12" s="104" t="s">
        <v>83</v>
      </c>
      <c r="AL12" s="10"/>
      <c r="AM12" s="10"/>
      <c r="AN12" s="10"/>
      <c r="AO12" s="10"/>
      <c r="AP12" s="10"/>
      <c r="AR12" s="1"/>
      <c r="AS12" s="30"/>
      <c r="AU12" s="5"/>
    </row>
    <row r="13" spans="1:47" x14ac:dyDescent="0.35">
      <c r="B13" s="4" t="s">
        <v>25</v>
      </c>
      <c r="C13" s="5">
        <v>50000</v>
      </c>
      <c r="D13" s="5">
        <v>0</v>
      </c>
      <c r="E13" s="5">
        <f t="shared" si="21"/>
        <v>50000</v>
      </c>
      <c r="F13" s="104" t="s">
        <v>83</v>
      </c>
      <c r="G13" s="5">
        <f t="shared" si="22"/>
        <v>50000</v>
      </c>
      <c r="H13" s="104" t="s">
        <v>83</v>
      </c>
      <c r="I13" s="6">
        <v>1</v>
      </c>
      <c r="J13" s="103">
        <f t="shared" si="23"/>
        <v>50000</v>
      </c>
      <c r="K13" s="173">
        <f t="shared" si="27"/>
        <v>4.4999999999999998E-2</v>
      </c>
      <c r="L13" s="106">
        <f t="shared" si="24"/>
        <v>2250</v>
      </c>
      <c r="M13" s="103">
        <f t="shared" si="25"/>
        <v>52250</v>
      </c>
      <c r="P13" s="4" t="str">
        <f t="shared" si="11"/>
        <v>Auto - Liability - Regular</v>
      </c>
      <c r="Q13" s="8">
        <v>0.91720081135902642</v>
      </c>
      <c r="R13" s="5">
        <f t="shared" si="12"/>
        <v>47923.742393509128</v>
      </c>
      <c r="S13" s="8">
        <v>0.93809908998988867</v>
      </c>
      <c r="T13" s="5">
        <f t="shared" si="13"/>
        <v>49015.677451971686</v>
      </c>
      <c r="U13" s="5">
        <f t="shared" si="14"/>
        <v>1091.9350584625572</v>
      </c>
      <c r="V13" s="6">
        <v>0.11</v>
      </c>
      <c r="W13" s="5">
        <f t="shared" si="15"/>
        <v>5271.6116632860039</v>
      </c>
      <c r="X13" s="104" t="s">
        <v>83</v>
      </c>
      <c r="Y13" s="104" t="s">
        <v>83</v>
      </c>
      <c r="Z13" s="104" t="s">
        <v>83</v>
      </c>
      <c r="AA13" s="5">
        <f t="shared" si="26"/>
        <v>6363.5467217485611</v>
      </c>
      <c r="AB13" s="10">
        <f t="shared" si="16"/>
        <v>54287.289115257692</v>
      </c>
      <c r="AE13" s="4" t="str">
        <f t="shared" si="17"/>
        <v>Auto - Liability - Regular</v>
      </c>
      <c r="AF13" s="11">
        <f t="shared" si="28"/>
        <v>0.03</v>
      </c>
      <c r="AG13" s="10">
        <f t="shared" si="18"/>
        <v>1500</v>
      </c>
      <c r="AH13" s="7">
        <v>0</v>
      </c>
      <c r="AI13" s="10">
        <f t="shared" si="19"/>
        <v>0</v>
      </c>
      <c r="AJ13" s="10">
        <f t="shared" si="20"/>
        <v>55787.289115257692</v>
      </c>
      <c r="AK13" s="104" t="s">
        <v>83</v>
      </c>
      <c r="AL13" s="10"/>
      <c r="AM13" s="10"/>
      <c r="AN13" s="10"/>
      <c r="AO13" s="10"/>
      <c r="AP13" s="10"/>
      <c r="AR13" s="1"/>
      <c r="AS13" s="30"/>
      <c r="AU13" s="5"/>
    </row>
    <row r="14" spans="1:47" x14ac:dyDescent="0.35">
      <c r="B14" s="4" t="s">
        <v>26</v>
      </c>
      <c r="C14" s="5">
        <v>25000</v>
      </c>
      <c r="D14" s="5">
        <v>0</v>
      </c>
      <c r="E14" s="5">
        <f t="shared" si="21"/>
        <v>25000</v>
      </c>
      <c r="F14" s="104" t="s">
        <v>83</v>
      </c>
      <c r="G14" s="5">
        <f t="shared" si="22"/>
        <v>25000</v>
      </c>
      <c r="H14" s="104" t="s">
        <v>83</v>
      </c>
      <c r="I14" s="6">
        <v>1.2</v>
      </c>
      <c r="J14" s="103">
        <f t="shared" si="23"/>
        <v>30000</v>
      </c>
      <c r="K14" s="173">
        <f t="shared" si="27"/>
        <v>4.4999999999999998E-2</v>
      </c>
      <c r="L14" s="106">
        <f t="shared" si="24"/>
        <v>1350</v>
      </c>
      <c r="M14" s="103">
        <f t="shared" si="25"/>
        <v>31350</v>
      </c>
      <c r="P14" s="4" t="str">
        <f t="shared" si="11"/>
        <v>Auto - PA - Regular</v>
      </c>
      <c r="Q14" s="8">
        <v>0.92717038539553753</v>
      </c>
      <c r="R14" s="5">
        <f t="shared" si="12"/>
        <v>29066.791582150101</v>
      </c>
      <c r="S14" s="8">
        <v>0.94807886754297266</v>
      </c>
      <c r="T14" s="5">
        <f t="shared" si="13"/>
        <v>29722.272497472193</v>
      </c>
      <c r="U14" s="5">
        <f t="shared" si="14"/>
        <v>655.48091532209219</v>
      </c>
      <c r="V14" s="6">
        <v>0.1</v>
      </c>
      <c r="W14" s="5">
        <f t="shared" si="15"/>
        <v>2906.6791582150104</v>
      </c>
      <c r="X14" s="104" t="s">
        <v>83</v>
      </c>
      <c r="Y14" s="104" t="s">
        <v>83</v>
      </c>
      <c r="Z14" s="104" t="s">
        <v>83</v>
      </c>
      <c r="AA14" s="5">
        <f t="shared" si="26"/>
        <v>3562.1600735371026</v>
      </c>
      <c r="AB14" s="10">
        <f t="shared" si="16"/>
        <v>32628.951655687204</v>
      </c>
      <c r="AE14" s="4" t="str">
        <f t="shared" si="17"/>
        <v>Auto - PA - Regular</v>
      </c>
      <c r="AF14" s="11">
        <f t="shared" si="28"/>
        <v>0.03</v>
      </c>
      <c r="AG14" s="10">
        <f t="shared" si="18"/>
        <v>750</v>
      </c>
      <c r="AH14" s="7">
        <v>0</v>
      </c>
      <c r="AI14" s="10">
        <f t="shared" si="19"/>
        <v>0</v>
      </c>
      <c r="AJ14" s="10">
        <f t="shared" si="20"/>
        <v>33378.951655687204</v>
      </c>
      <c r="AK14" s="104" t="s">
        <v>83</v>
      </c>
      <c r="AL14" s="10"/>
      <c r="AM14" s="10"/>
      <c r="AN14" s="10"/>
      <c r="AO14" s="10"/>
      <c r="AP14" s="10"/>
      <c r="AR14" s="1"/>
      <c r="AS14" s="30"/>
      <c r="AU14" s="5"/>
    </row>
    <row r="15" spans="1:47" x14ac:dyDescent="0.35">
      <c r="B15" s="4" t="s">
        <v>27</v>
      </c>
      <c r="C15" s="5">
        <v>30000</v>
      </c>
      <c r="D15" s="5">
        <v>0</v>
      </c>
      <c r="E15" s="5">
        <f t="shared" si="21"/>
        <v>30000</v>
      </c>
      <c r="F15" s="104" t="s">
        <v>83</v>
      </c>
      <c r="G15" s="5">
        <f t="shared" si="22"/>
        <v>30000</v>
      </c>
      <c r="H15" s="104" t="s">
        <v>83</v>
      </c>
      <c r="I15" s="6">
        <v>0.68</v>
      </c>
      <c r="J15" s="103">
        <f t="shared" si="23"/>
        <v>20400</v>
      </c>
      <c r="K15" s="173">
        <f t="shared" si="27"/>
        <v>4.4999999999999998E-2</v>
      </c>
      <c r="L15" s="106">
        <f t="shared" si="24"/>
        <v>918</v>
      </c>
      <c r="M15" s="103">
        <f t="shared" si="25"/>
        <v>21318</v>
      </c>
      <c r="P15" s="4" t="str">
        <f t="shared" si="11"/>
        <v>Auto - Other - Regular</v>
      </c>
      <c r="Q15" s="8">
        <v>0.9770182555780933</v>
      </c>
      <c r="R15" s="5">
        <f t="shared" si="12"/>
        <v>20828.075172413792</v>
      </c>
      <c r="S15" s="8">
        <v>0.9879979777553084</v>
      </c>
      <c r="T15" s="5">
        <f t="shared" si="13"/>
        <v>21062.140889787664</v>
      </c>
      <c r="U15" s="5">
        <f t="shared" si="14"/>
        <v>234.06571737387276</v>
      </c>
      <c r="V15" s="6">
        <v>7.0000000000000007E-2</v>
      </c>
      <c r="W15" s="5">
        <f t="shared" si="15"/>
        <v>1457.9652620689656</v>
      </c>
      <c r="X15" s="104" t="s">
        <v>83</v>
      </c>
      <c r="Y15" s="104" t="s">
        <v>83</v>
      </c>
      <c r="Z15" s="104" t="s">
        <v>83</v>
      </c>
      <c r="AA15" s="5">
        <f t="shared" si="26"/>
        <v>1692.0309794428383</v>
      </c>
      <c r="AB15" s="10">
        <f t="shared" si="16"/>
        <v>22520.106151856631</v>
      </c>
      <c r="AE15" s="4" t="str">
        <f t="shared" si="17"/>
        <v>Auto - Other - Regular</v>
      </c>
      <c r="AF15" s="11">
        <f t="shared" si="28"/>
        <v>0.03</v>
      </c>
      <c r="AG15" s="10">
        <f t="shared" si="18"/>
        <v>900</v>
      </c>
      <c r="AH15" s="7">
        <v>0</v>
      </c>
      <c r="AI15" s="10">
        <f t="shared" si="19"/>
        <v>0</v>
      </c>
      <c r="AJ15" s="10">
        <f t="shared" si="20"/>
        <v>23420.106151856631</v>
      </c>
      <c r="AK15" s="104" t="s">
        <v>83</v>
      </c>
      <c r="AL15" s="10"/>
      <c r="AM15" s="10"/>
      <c r="AN15" s="10"/>
      <c r="AO15" s="10"/>
      <c r="AP15" s="10"/>
      <c r="AR15" s="1"/>
      <c r="AS15" s="30"/>
      <c r="AU15" s="5"/>
    </row>
    <row r="16" spans="1:47" x14ac:dyDescent="0.35">
      <c r="B16" s="4" t="s">
        <v>45</v>
      </c>
      <c r="C16" s="5">
        <v>1500</v>
      </c>
      <c r="D16" s="5">
        <v>0</v>
      </c>
      <c r="E16" s="5">
        <f t="shared" si="21"/>
        <v>1500</v>
      </c>
      <c r="F16" s="104" t="s">
        <v>83</v>
      </c>
      <c r="G16" s="5">
        <f t="shared" si="22"/>
        <v>1500</v>
      </c>
      <c r="H16" s="104" t="s">
        <v>83</v>
      </c>
      <c r="I16" s="6">
        <v>0.93333333333333335</v>
      </c>
      <c r="J16" s="103">
        <f t="shared" si="23"/>
        <v>1400</v>
      </c>
      <c r="K16" s="175" t="s">
        <v>83</v>
      </c>
      <c r="L16" s="106">
        <f t="shared" si="24"/>
        <v>0</v>
      </c>
      <c r="M16" s="103">
        <f t="shared" si="25"/>
        <v>1400</v>
      </c>
      <c r="P16" s="4" t="str">
        <f t="shared" si="11"/>
        <v>Auto - Liability - Facility</v>
      </c>
      <c r="Q16" s="8">
        <v>0.9285714285714286</v>
      </c>
      <c r="R16" s="5">
        <f t="shared" si="12"/>
        <v>1300</v>
      </c>
      <c r="S16" s="8">
        <f>Q16</f>
        <v>0.9285714285714286</v>
      </c>
      <c r="T16" s="5">
        <f t="shared" si="13"/>
        <v>1300</v>
      </c>
      <c r="U16" s="5">
        <f t="shared" si="14"/>
        <v>0</v>
      </c>
      <c r="V16" s="6">
        <v>0.15384615384615385</v>
      </c>
      <c r="W16" s="5">
        <f t="shared" si="15"/>
        <v>200</v>
      </c>
      <c r="X16" s="104" t="s">
        <v>83</v>
      </c>
      <c r="Y16" s="104" t="s">
        <v>83</v>
      </c>
      <c r="Z16" s="104" t="s">
        <v>83</v>
      </c>
      <c r="AA16" s="5">
        <f t="shared" si="26"/>
        <v>200</v>
      </c>
      <c r="AB16" s="10">
        <f t="shared" si="16"/>
        <v>1500</v>
      </c>
      <c r="AE16" s="4" t="str">
        <f t="shared" si="17"/>
        <v>Auto - Liability - Facility</v>
      </c>
      <c r="AF16" s="11">
        <f t="shared" si="28"/>
        <v>0.03</v>
      </c>
      <c r="AG16" s="10">
        <f t="shared" si="18"/>
        <v>45</v>
      </c>
      <c r="AH16" s="7">
        <v>0</v>
      </c>
      <c r="AI16" s="10">
        <f t="shared" si="19"/>
        <v>0</v>
      </c>
      <c r="AJ16" s="10">
        <f t="shared" si="20"/>
        <v>1545</v>
      </c>
      <c r="AK16" s="104" t="s">
        <v>83</v>
      </c>
      <c r="AL16" s="10"/>
      <c r="AM16" s="10"/>
      <c r="AN16" s="10"/>
      <c r="AO16" s="10"/>
      <c r="AP16" s="10"/>
      <c r="AR16" s="1"/>
      <c r="AS16" s="30"/>
      <c r="AU16" s="5"/>
    </row>
    <row r="17" spans="2:47" x14ac:dyDescent="0.35">
      <c r="B17" s="4" t="s">
        <v>46</v>
      </c>
      <c r="C17" s="5">
        <v>750</v>
      </c>
      <c r="D17" s="5">
        <v>0</v>
      </c>
      <c r="E17" s="5">
        <f t="shared" si="21"/>
        <v>750</v>
      </c>
      <c r="F17" s="104" t="s">
        <v>83</v>
      </c>
      <c r="G17" s="5">
        <f t="shared" si="22"/>
        <v>750</v>
      </c>
      <c r="H17" s="104" t="s">
        <v>83</v>
      </c>
      <c r="I17" s="6">
        <f>I16</f>
        <v>0.93333333333333335</v>
      </c>
      <c r="J17" s="103">
        <f t="shared" si="23"/>
        <v>700</v>
      </c>
      <c r="K17" s="175" t="s">
        <v>83</v>
      </c>
      <c r="L17" s="106">
        <f t="shared" si="24"/>
        <v>0</v>
      </c>
      <c r="M17" s="103">
        <f t="shared" si="25"/>
        <v>700</v>
      </c>
      <c r="P17" s="4" t="str">
        <f t="shared" si="11"/>
        <v>Auto - PA - Facility</v>
      </c>
      <c r="Q17" s="8">
        <v>0.9285714285714286</v>
      </c>
      <c r="R17" s="5">
        <f t="shared" si="12"/>
        <v>650</v>
      </c>
      <c r="S17" s="8">
        <f t="shared" ref="S17:S18" si="29">Q17</f>
        <v>0.9285714285714286</v>
      </c>
      <c r="T17" s="5">
        <f t="shared" si="13"/>
        <v>650</v>
      </c>
      <c r="U17" s="5">
        <f t="shared" si="14"/>
        <v>0</v>
      </c>
      <c r="V17" s="6">
        <f>V16</f>
        <v>0.15384615384615385</v>
      </c>
      <c r="W17" s="5">
        <f t="shared" si="15"/>
        <v>100</v>
      </c>
      <c r="X17" s="104" t="s">
        <v>83</v>
      </c>
      <c r="Y17" s="104" t="s">
        <v>83</v>
      </c>
      <c r="Z17" s="104" t="s">
        <v>83</v>
      </c>
      <c r="AA17" s="5">
        <f t="shared" si="26"/>
        <v>100</v>
      </c>
      <c r="AB17" s="10">
        <f t="shared" si="16"/>
        <v>750</v>
      </c>
      <c r="AE17" s="4" t="str">
        <f t="shared" si="17"/>
        <v>Auto - PA - Facility</v>
      </c>
      <c r="AF17" s="11">
        <f t="shared" si="28"/>
        <v>0.03</v>
      </c>
      <c r="AG17" s="10">
        <f t="shared" si="18"/>
        <v>22.5</v>
      </c>
      <c r="AH17" s="7">
        <v>0</v>
      </c>
      <c r="AI17" s="10">
        <f t="shared" si="19"/>
        <v>0</v>
      </c>
      <c r="AJ17" s="10">
        <f t="shared" si="20"/>
        <v>772.5</v>
      </c>
      <c r="AK17" s="104" t="s">
        <v>83</v>
      </c>
      <c r="AL17" s="10"/>
      <c r="AM17" s="10"/>
      <c r="AN17" s="10"/>
      <c r="AO17" s="10"/>
      <c r="AP17" s="10"/>
      <c r="AR17" s="1"/>
      <c r="AS17" s="30"/>
      <c r="AU17" s="5"/>
    </row>
    <row r="18" spans="2:47" x14ac:dyDescent="0.35">
      <c r="B18" s="4" t="s">
        <v>47</v>
      </c>
      <c r="C18" s="5">
        <v>750</v>
      </c>
      <c r="D18" s="5">
        <v>0</v>
      </c>
      <c r="E18" s="5">
        <f t="shared" si="21"/>
        <v>750</v>
      </c>
      <c r="F18" s="104" t="s">
        <v>83</v>
      </c>
      <c r="G18" s="5">
        <f t="shared" si="22"/>
        <v>750</v>
      </c>
      <c r="H18" s="104" t="s">
        <v>83</v>
      </c>
      <c r="I18" s="6">
        <f>I17</f>
        <v>0.93333333333333335</v>
      </c>
      <c r="J18" s="103">
        <f t="shared" si="23"/>
        <v>700</v>
      </c>
      <c r="K18" s="175" t="s">
        <v>83</v>
      </c>
      <c r="L18" s="106">
        <f t="shared" si="24"/>
        <v>0</v>
      </c>
      <c r="M18" s="103">
        <f t="shared" si="25"/>
        <v>700</v>
      </c>
      <c r="P18" s="4" t="str">
        <f t="shared" si="11"/>
        <v>Auto - Other - Facility</v>
      </c>
      <c r="Q18" s="8">
        <v>0.9285714285714286</v>
      </c>
      <c r="R18" s="5">
        <f t="shared" si="12"/>
        <v>650</v>
      </c>
      <c r="S18" s="8">
        <f t="shared" si="29"/>
        <v>0.9285714285714286</v>
      </c>
      <c r="T18" s="5">
        <f t="shared" si="13"/>
        <v>650</v>
      </c>
      <c r="U18" s="5">
        <f t="shared" si="14"/>
        <v>0</v>
      </c>
      <c r="V18" s="6">
        <f>V17</f>
        <v>0.15384615384615385</v>
      </c>
      <c r="W18" s="5">
        <f t="shared" si="15"/>
        <v>100</v>
      </c>
      <c r="X18" s="104" t="s">
        <v>83</v>
      </c>
      <c r="Y18" s="104" t="s">
        <v>83</v>
      </c>
      <c r="Z18" s="104" t="s">
        <v>83</v>
      </c>
      <c r="AA18" s="5">
        <f t="shared" si="26"/>
        <v>100</v>
      </c>
      <c r="AB18" s="10">
        <f t="shared" si="16"/>
        <v>750</v>
      </c>
      <c r="AE18" s="4" t="str">
        <f t="shared" si="17"/>
        <v>Auto - Other - Facility</v>
      </c>
      <c r="AF18" s="11">
        <f t="shared" si="28"/>
        <v>0.03</v>
      </c>
      <c r="AG18" s="10">
        <f t="shared" si="18"/>
        <v>22.5</v>
      </c>
      <c r="AH18" s="7">
        <v>0</v>
      </c>
      <c r="AI18" s="10">
        <f t="shared" si="19"/>
        <v>0</v>
      </c>
      <c r="AJ18" s="10">
        <f t="shared" si="20"/>
        <v>772.5</v>
      </c>
      <c r="AK18" s="104" t="s">
        <v>83</v>
      </c>
      <c r="AL18" s="10"/>
      <c r="AM18" s="10"/>
      <c r="AN18" s="10"/>
      <c r="AO18" s="10"/>
      <c r="AP18" s="10"/>
      <c r="AR18" s="1"/>
      <c r="AS18" s="30"/>
      <c r="AU18" s="5"/>
    </row>
    <row r="19" spans="2:47" x14ac:dyDescent="0.35">
      <c r="B19" s="4" t="s">
        <v>12</v>
      </c>
      <c r="C19" s="5">
        <v>0</v>
      </c>
      <c r="D19" s="5">
        <v>0</v>
      </c>
      <c r="E19" s="5">
        <f t="shared" si="21"/>
        <v>0</v>
      </c>
      <c r="F19" s="104" t="s">
        <v>83</v>
      </c>
      <c r="G19" s="5">
        <f t="shared" si="22"/>
        <v>0</v>
      </c>
      <c r="H19" s="104" t="s">
        <v>83</v>
      </c>
      <c r="I19" s="6">
        <v>0</v>
      </c>
      <c r="J19" s="103">
        <f t="shared" si="23"/>
        <v>0</v>
      </c>
      <c r="K19" s="173">
        <f>K15</f>
        <v>4.4999999999999998E-2</v>
      </c>
      <c r="L19" s="106">
        <f t="shared" si="24"/>
        <v>0</v>
      </c>
      <c r="M19" s="103">
        <f t="shared" si="25"/>
        <v>0</v>
      </c>
      <c r="P19" s="4" t="str">
        <f t="shared" si="11"/>
        <v>Boiler &amp; Machinery</v>
      </c>
      <c r="Q19" s="8" t="s">
        <v>83</v>
      </c>
      <c r="R19" s="5">
        <f t="shared" si="12"/>
        <v>0</v>
      </c>
      <c r="S19" s="8" t="s">
        <v>83</v>
      </c>
      <c r="T19" s="5">
        <f t="shared" si="13"/>
        <v>0</v>
      </c>
      <c r="U19" s="5">
        <f t="shared" si="14"/>
        <v>0</v>
      </c>
      <c r="V19" s="6">
        <v>0</v>
      </c>
      <c r="W19" s="5">
        <f t="shared" si="15"/>
        <v>0</v>
      </c>
      <c r="X19" s="104" t="s">
        <v>83</v>
      </c>
      <c r="Y19" s="104" t="s">
        <v>83</v>
      </c>
      <c r="Z19" s="104" t="s">
        <v>83</v>
      </c>
      <c r="AA19" s="5">
        <f t="shared" si="26"/>
        <v>0</v>
      </c>
      <c r="AB19" s="10">
        <f t="shared" si="16"/>
        <v>0</v>
      </c>
      <c r="AE19" s="4" t="str">
        <f t="shared" si="17"/>
        <v>Boiler &amp; Machinery</v>
      </c>
      <c r="AF19" s="11">
        <f t="shared" si="28"/>
        <v>0.03</v>
      </c>
      <c r="AG19" s="10">
        <f t="shared" si="18"/>
        <v>0</v>
      </c>
      <c r="AH19" s="7">
        <v>0</v>
      </c>
      <c r="AI19" s="10">
        <f t="shared" si="19"/>
        <v>0</v>
      </c>
      <c r="AJ19" s="10">
        <f t="shared" si="20"/>
        <v>0</v>
      </c>
      <c r="AK19" s="104" t="s">
        <v>83</v>
      </c>
      <c r="AL19" s="10"/>
      <c r="AM19" s="10"/>
      <c r="AN19" s="10"/>
      <c r="AO19" s="10"/>
      <c r="AP19" s="10"/>
      <c r="AR19" s="1"/>
      <c r="AS19" s="30"/>
      <c r="AU19" s="5"/>
    </row>
    <row r="20" spans="2:47" x14ac:dyDescent="0.35">
      <c r="B20" s="4" t="s">
        <v>4</v>
      </c>
      <c r="C20" s="5">
        <v>0</v>
      </c>
      <c r="D20" s="5">
        <v>0</v>
      </c>
      <c r="E20" s="5">
        <f t="shared" si="21"/>
        <v>0</v>
      </c>
      <c r="F20" s="104" t="s">
        <v>83</v>
      </c>
      <c r="G20" s="5">
        <f t="shared" si="22"/>
        <v>0</v>
      </c>
      <c r="H20" s="104" t="s">
        <v>83</v>
      </c>
      <c r="I20" s="6">
        <v>0</v>
      </c>
      <c r="J20" s="103">
        <f t="shared" si="23"/>
        <v>0</v>
      </c>
      <c r="K20" s="173">
        <f t="shared" si="27"/>
        <v>4.4999999999999998E-2</v>
      </c>
      <c r="L20" s="106">
        <f t="shared" si="24"/>
        <v>0</v>
      </c>
      <c r="M20" s="103">
        <f t="shared" si="25"/>
        <v>0</v>
      </c>
      <c r="P20" s="4" t="str">
        <f t="shared" si="11"/>
        <v>Credit</v>
      </c>
      <c r="Q20" s="8" t="s">
        <v>83</v>
      </c>
      <c r="R20" s="5">
        <f t="shared" si="12"/>
        <v>0</v>
      </c>
      <c r="S20" s="8" t="s">
        <v>83</v>
      </c>
      <c r="T20" s="5">
        <f t="shared" si="13"/>
        <v>0</v>
      </c>
      <c r="U20" s="5">
        <f t="shared" si="14"/>
        <v>0</v>
      </c>
      <c r="V20" s="6">
        <v>0</v>
      </c>
      <c r="W20" s="5">
        <f t="shared" si="15"/>
        <v>0</v>
      </c>
      <c r="X20" s="104" t="s">
        <v>83</v>
      </c>
      <c r="Y20" s="104" t="s">
        <v>83</v>
      </c>
      <c r="Z20" s="104" t="s">
        <v>83</v>
      </c>
      <c r="AA20" s="5">
        <f t="shared" si="26"/>
        <v>0</v>
      </c>
      <c r="AB20" s="10">
        <f t="shared" si="16"/>
        <v>0</v>
      </c>
      <c r="AE20" s="4" t="str">
        <f t="shared" si="17"/>
        <v>Credit</v>
      </c>
      <c r="AF20" s="11">
        <f t="shared" si="28"/>
        <v>0.03</v>
      </c>
      <c r="AG20" s="10">
        <f t="shared" si="18"/>
        <v>0</v>
      </c>
      <c r="AH20" s="7">
        <v>0</v>
      </c>
      <c r="AI20" s="10">
        <f t="shared" si="19"/>
        <v>0</v>
      </c>
      <c r="AJ20" s="10">
        <f t="shared" si="20"/>
        <v>0</v>
      </c>
      <c r="AK20" s="104" t="s">
        <v>83</v>
      </c>
      <c r="AL20" s="10"/>
      <c r="AM20" s="10"/>
      <c r="AN20" s="10"/>
      <c r="AO20" s="10"/>
      <c r="AP20" s="10"/>
      <c r="AR20" s="1"/>
      <c r="AS20" s="30"/>
      <c r="AU20" s="5"/>
    </row>
    <row r="21" spans="2:47" x14ac:dyDescent="0.35">
      <c r="B21" s="4" t="s">
        <v>5</v>
      </c>
      <c r="C21" s="5">
        <v>0</v>
      </c>
      <c r="D21" s="5">
        <v>0</v>
      </c>
      <c r="E21" s="5">
        <f t="shared" si="21"/>
        <v>0</v>
      </c>
      <c r="F21" s="104" t="s">
        <v>83</v>
      </c>
      <c r="G21" s="5">
        <f t="shared" si="22"/>
        <v>0</v>
      </c>
      <c r="H21" s="104" t="s">
        <v>83</v>
      </c>
      <c r="I21" s="6">
        <v>0</v>
      </c>
      <c r="J21" s="103">
        <f t="shared" si="23"/>
        <v>0</v>
      </c>
      <c r="K21" s="173">
        <f t="shared" si="27"/>
        <v>4.4999999999999998E-2</v>
      </c>
      <c r="L21" s="106">
        <f t="shared" si="24"/>
        <v>0</v>
      </c>
      <c r="M21" s="103">
        <f t="shared" si="25"/>
        <v>0</v>
      </c>
      <c r="P21" s="4" t="str">
        <f t="shared" si="11"/>
        <v>Credit Protection</v>
      </c>
      <c r="Q21" s="8" t="s">
        <v>83</v>
      </c>
      <c r="R21" s="5">
        <f t="shared" si="12"/>
        <v>0</v>
      </c>
      <c r="S21" s="8" t="s">
        <v>83</v>
      </c>
      <c r="T21" s="5">
        <f t="shared" si="13"/>
        <v>0</v>
      </c>
      <c r="U21" s="5">
        <f t="shared" si="14"/>
        <v>0</v>
      </c>
      <c r="V21" s="6">
        <v>0</v>
      </c>
      <c r="W21" s="5">
        <f t="shared" si="15"/>
        <v>0</v>
      </c>
      <c r="X21" s="104" t="s">
        <v>83</v>
      </c>
      <c r="Y21" s="104" t="s">
        <v>83</v>
      </c>
      <c r="Z21" s="104" t="s">
        <v>83</v>
      </c>
      <c r="AA21" s="5">
        <f t="shared" si="26"/>
        <v>0</v>
      </c>
      <c r="AB21" s="10">
        <f t="shared" si="16"/>
        <v>0</v>
      </c>
      <c r="AE21" s="4" t="str">
        <f t="shared" si="17"/>
        <v>Credit Protection</v>
      </c>
      <c r="AF21" s="11">
        <f t="shared" si="28"/>
        <v>0.03</v>
      </c>
      <c r="AG21" s="10">
        <f t="shared" si="18"/>
        <v>0</v>
      </c>
      <c r="AH21" s="7">
        <v>0</v>
      </c>
      <c r="AI21" s="10">
        <f t="shared" si="19"/>
        <v>0</v>
      </c>
      <c r="AJ21" s="10">
        <f t="shared" si="20"/>
        <v>0</v>
      </c>
      <c r="AK21" s="104" t="s">
        <v>83</v>
      </c>
      <c r="AL21" s="10"/>
      <c r="AM21" s="10"/>
      <c r="AN21" s="10"/>
      <c r="AO21" s="10"/>
      <c r="AP21" s="10"/>
      <c r="AR21" s="1"/>
      <c r="AS21" s="30"/>
      <c r="AU21" s="5"/>
    </row>
    <row r="22" spans="2:47" x14ac:dyDescent="0.35">
      <c r="B22" s="4" t="s">
        <v>6</v>
      </c>
      <c r="C22" s="5">
        <v>0</v>
      </c>
      <c r="D22" s="5">
        <v>0</v>
      </c>
      <c r="E22" s="5">
        <f t="shared" si="21"/>
        <v>0</v>
      </c>
      <c r="F22" s="104" t="s">
        <v>83</v>
      </c>
      <c r="G22" s="5">
        <f t="shared" si="22"/>
        <v>0</v>
      </c>
      <c r="H22" s="104" t="s">
        <v>83</v>
      </c>
      <c r="I22" s="6">
        <v>0</v>
      </c>
      <c r="J22" s="103">
        <f t="shared" si="23"/>
        <v>0</v>
      </c>
      <c r="K22" s="173">
        <f t="shared" si="27"/>
        <v>4.4999999999999998E-2</v>
      </c>
      <c r="L22" s="106">
        <f t="shared" si="24"/>
        <v>0</v>
      </c>
      <c r="M22" s="103">
        <f t="shared" si="25"/>
        <v>0</v>
      </c>
      <c r="P22" s="4" t="str">
        <f t="shared" si="11"/>
        <v>Fidelity</v>
      </c>
      <c r="Q22" s="8" t="s">
        <v>83</v>
      </c>
      <c r="R22" s="5">
        <f t="shared" si="12"/>
        <v>0</v>
      </c>
      <c r="S22" s="8" t="s">
        <v>83</v>
      </c>
      <c r="T22" s="5">
        <f t="shared" si="13"/>
        <v>0</v>
      </c>
      <c r="U22" s="5">
        <f t="shared" si="14"/>
        <v>0</v>
      </c>
      <c r="V22" s="6">
        <v>0</v>
      </c>
      <c r="W22" s="5">
        <f t="shared" si="15"/>
        <v>0</v>
      </c>
      <c r="X22" s="104" t="s">
        <v>83</v>
      </c>
      <c r="Y22" s="104" t="s">
        <v>83</v>
      </c>
      <c r="Z22" s="104" t="s">
        <v>83</v>
      </c>
      <c r="AA22" s="5">
        <f t="shared" si="26"/>
        <v>0</v>
      </c>
      <c r="AB22" s="10">
        <f t="shared" si="16"/>
        <v>0</v>
      </c>
      <c r="AE22" s="4" t="str">
        <f t="shared" si="17"/>
        <v>Fidelity</v>
      </c>
      <c r="AF22" s="11">
        <f t="shared" si="28"/>
        <v>0.03</v>
      </c>
      <c r="AG22" s="10">
        <f t="shared" si="18"/>
        <v>0</v>
      </c>
      <c r="AH22" s="7">
        <v>0</v>
      </c>
      <c r="AI22" s="10">
        <f t="shared" si="19"/>
        <v>0</v>
      </c>
      <c r="AJ22" s="10">
        <f t="shared" si="20"/>
        <v>0</v>
      </c>
      <c r="AK22" s="104" t="s">
        <v>83</v>
      </c>
      <c r="AL22" s="10"/>
      <c r="AM22" s="10"/>
      <c r="AN22" s="10"/>
      <c r="AO22" s="10"/>
      <c r="AP22" s="10"/>
      <c r="AR22" s="1"/>
      <c r="AS22" s="30"/>
      <c r="AU22" s="5"/>
    </row>
    <row r="23" spans="2:47" x14ac:dyDescent="0.35">
      <c r="B23" s="4" t="s">
        <v>7</v>
      </c>
      <c r="C23" s="5">
        <v>0</v>
      </c>
      <c r="D23" s="5">
        <v>0</v>
      </c>
      <c r="E23" s="5">
        <f t="shared" si="21"/>
        <v>0</v>
      </c>
      <c r="F23" s="104" t="s">
        <v>83</v>
      </c>
      <c r="G23" s="5">
        <f t="shared" si="22"/>
        <v>0</v>
      </c>
      <c r="H23" s="104" t="s">
        <v>83</v>
      </c>
      <c r="I23" s="6">
        <v>0</v>
      </c>
      <c r="J23" s="103">
        <f t="shared" si="23"/>
        <v>0</v>
      </c>
      <c r="K23" s="173">
        <f t="shared" si="27"/>
        <v>4.4999999999999998E-2</v>
      </c>
      <c r="L23" s="106">
        <f t="shared" si="24"/>
        <v>0</v>
      </c>
      <c r="M23" s="103">
        <f t="shared" si="25"/>
        <v>0</v>
      </c>
      <c r="P23" s="4" t="str">
        <f t="shared" si="11"/>
        <v>Hail</v>
      </c>
      <c r="Q23" s="8" t="s">
        <v>83</v>
      </c>
      <c r="R23" s="5">
        <f t="shared" si="12"/>
        <v>0</v>
      </c>
      <c r="S23" s="8" t="s">
        <v>83</v>
      </c>
      <c r="T23" s="5">
        <f t="shared" si="13"/>
        <v>0</v>
      </c>
      <c r="U23" s="5">
        <f t="shared" si="14"/>
        <v>0</v>
      </c>
      <c r="V23" s="6">
        <v>0</v>
      </c>
      <c r="W23" s="5">
        <f t="shared" si="15"/>
        <v>0</v>
      </c>
      <c r="X23" s="104" t="s">
        <v>83</v>
      </c>
      <c r="Y23" s="104" t="s">
        <v>83</v>
      </c>
      <c r="Z23" s="104" t="s">
        <v>83</v>
      </c>
      <c r="AA23" s="5">
        <f t="shared" si="26"/>
        <v>0</v>
      </c>
      <c r="AB23" s="10">
        <f t="shared" si="16"/>
        <v>0</v>
      </c>
      <c r="AE23" s="4" t="str">
        <f t="shared" si="17"/>
        <v>Hail</v>
      </c>
      <c r="AF23" s="11">
        <f t="shared" si="28"/>
        <v>0.03</v>
      </c>
      <c r="AG23" s="10">
        <f t="shared" si="18"/>
        <v>0</v>
      </c>
      <c r="AH23" s="7">
        <v>0</v>
      </c>
      <c r="AI23" s="10">
        <f t="shared" si="19"/>
        <v>0</v>
      </c>
      <c r="AJ23" s="10">
        <f t="shared" si="20"/>
        <v>0</v>
      </c>
      <c r="AK23" s="104" t="s">
        <v>83</v>
      </c>
      <c r="AL23" s="10"/>
      <c r="AM23" s="10"/>
      <c r="AN23" s="10"/>
      <c r="AO23" s="10"/>
      <c r="AP23" s="10"/>
      <c r="AR23" s="1"/>
      <c r="AS23" s="30"/>
      <c r="AU23" s="5"/>
    </row>
    <row r="24" spans="2:47" x14ac:dyDescent="0.35">
      <c r="B24" s="4" t="s">
        <v>8</v>
      </c>
      <c r="C24" s="5">
        <v>0</v>
      </c>
      <c r="D24" s="5">
        <v>0</v>
      </c>
      <c r="E24" s="5">
        <f t="shared" si="21"/>
        <v>0</v>
      </c>
      <c r="F24" s="104" t="s">
        <v>83</v>
      </c>
      <c r="G24" s="5">
        <f t="shared" si="22"/>
        <v>0</v>
      </c>
      <c r="H24" s="104" t="s">
        <v>83</v>
      </c>
      <c r="I24" s="6">
        <v>0</v>
      </c>
      <c r="J24" s="103">
        <f t="shared" si="23"/>
        <v>0</v>
      </c>
      <c r="K24" s="173">
        <f t="shared" si="27"/>
        <v>4.4999999999999998E-2</v>
      </c>
      <c r="L24" s="106">
        <f t="shared" si="24"/>
        <v>0</v>
      </c>
      <c r="M24" s="103">
        <f t="shared" si="25"/>
        <v>0</v>
      </c>
      <c r="P24" s="4" t="str">
        <f t="shared" si="11"/>
        <v>Legal Expense</v>
      </c>
      <c r="Q24" s="8" t="s">
        <v>83</v>
      </c>
      <c r="R24" s="5">
        <f t="shared" si="12"/>
        <v>0</v>
      </c>
      <c r="S24" s="8" t="s">
        <v>83</v>
      </c>
      <c r="T24" s="5">
        <f t="shared" si="13"/>
        <v>0</v>
      </c>
      <c r="U24" s="5">
        <f t="shared" si="14"/>
        <v>0</v>
      </c>
      <c r="V24" s="6">
        <v>0</v>
      </c>
      <c r="W24" s="5">
        <f t="shared" si="15"/>
        <v>0</v>
      </c>
      <c r="X24" s="104" t="s">
        <v>83</v>
      </c>
      <c r="Y24" s="104" t="s">
        <v>83</v>
      </c>
      <c r="Z24" s="104" t="s">
        <v>83</v>
      </c>
      <c r="AA24" s="5">
        <f t="shared" si="26"/>
        <v>0</v>
      </c>
      <c r="AB24" s="10">
        <f t="shared" si="16"/>
        <v>0</v>
      </c>
      <c r="AE24" s="4" t="str">
        <f t="shared" si="17"/>
        <v>Legal Expense</v>
      </c>
      <c r="AF24" s="11">
        <f t="shared" si="28"/>
        <v>0.03</v>
      </c>
      <c r="AG24" s="10">
        <f t="shared" si="18"/>
        <v>0</v>
      </c>
      <c r="AH24" s="7">
        <v>0</v>
      </c>
      <c r="AI24" s="10">
        <f t="shared" si="19"/>
        <v>0</v>
      </c>
      <c r="AJ24" s="10">
        <f t="shared" si="20"/>
        <v>0</v>
      </c>
      <c r="AK24" s="104" t="s">
        <v>83</v>
      </c>
      <c r="AL24" s="10"/>
      <c r="AM24" s="10"/>
      <c r="AN24" s="10"/>
      <c r="AO24" s="10"/>
      <c r="AP24" s="10"/>
      <c r="AR24" s="1"/>
      <c r="AS24" s="30"/>
      <c r="AU24" s="5"/>
    </row>
    <row r="25" spans="2:47" x14ac:dyDescent="0.35">
      <c r="B25" s="4" t="s">
        <v>40</v>
      </c>
      <c r="C25" s="5">
        <v>0</v>
      </c>
      <c r="D25" s="5">
        <v>5000</v>
      </c>
      <c r="E25" s="5">
        <f t="shared" si="21"/>
        <v>5000</v>
      </c>
      <c r="F25" s="104" t="s">
        <v>83</v>
      </c>
      <c r="G25" s="5">
        <f t="shared" si="22"/>
        <v>5000</v>
      </c>
      <c r="H25" s="104" t="s">
        <v>83</v>
      </c>
      <c r="I25" s="6">
        <v>0.75</v>
      </c>
      <c r="J25" s="103">
        <f t="shared" si="23"/>
        <v>3750</v>
      </c>
      <c r="K25" s="173">
        <f t="shared" si="27"/>
        <v>4.4999999999999998E-2</v>
      </c>
      <c r="L25" s="106">
        <f t="shared" si="24"/>
        <v>168.75</v>
      </c>
      <c r="M25" s="103">
        <f t="shared" si="25"/>
        <v>3918.75</v>
      </c>
      <c r="P25" s="4" t="str">
        <f t="shared" si="11"/>
        <v>Liability - Total</v>
      </c>
      <c r="Q25" s="8">
        <v>0.92218559837728198</v>
      </c>
      <c r="R25" s="5">
        <f t="shared" si="12"/>
        <v>3613.8148136409736</v>
      </c>
      <c r="S25" s="8">
        <v>0.93809908998988867</v>
      </c>
      <c r="T25" s="5">
        <f t="shared" si="13"/>
        <v>3676.1758088978763</v>
      </c>
      <c r="U25" s="5">
        <f t="shared" si="14"/>
        <v>62.360995256902697</v>
      </c>
      <c r="V25" s="6">
        <v>0.1</v>
      </c>
      <c r="W25" s="5">
        <f t="shared" si="15"/>
        <v>361.3814813640974</v>
      </c>
      <c r="X25" s="104" t="s">
        <v>83</v>
      </c>
      <c r="Y25" s="104" t="s">
        <v>83</v>
      </c>
      <c r="Z25" s="104" t="s">
        <v>83</v>
      </c>
      <c r="AA25" s="5">
        <f t="shared" si="26"/>
        <v>423.74247662100009</v>
      </c>
      <c r="AB25" s="10">
        <f t="shared" si="16"/>
        <v>4037.5572902619738</v>
      </c>
      <c r="AE25" s="4" t="str">
        <f t="shared" si="17"/>
        <v>Liability - Total</v>
      </c>
      <c r="AF25" s="11">
        <f t="shared" si="28"/>
        <v>0.03</v>
      </c>
      <c r="AG25" s="10">
        <f t="shared" si="18"/>
        <v>150</v>
      </c>
      <c r="AH25" s="7">
        <v>0</v>
      </c>
      <c r="AI25" s="10">
        <f t="shared" si="19"/>
        <v>0</v>
      </c>
      <c r="AJ25" s="10">
        <f t="shared" si="20"/>
        <v>4187.5572902619733</v>
      </c>
      <c r="AK25" s="104" t="s">
        <v>83</v>
      </c>
      <c r="AL25" s="10"/>
      <c r="AM25" s="10"/>
      <c r="AN25" s="10"/>
      <c r="AO25" s="10"/>
      <c r="AP25" s="10"/>
      <c r="AR25" s="1"/>
      <c r="AS25" s="30"/>
      <c r="AU25" s="5"/>
    </row>
    <row r="26" spans="2:47" x14ac:dyDescent="0.35">
      <c r="B26" s="4" t="s">
        <v>160</v>
      </c>
      <c r="C26" s="5">
        <v>0</v>
      </c>
      <c r="D26" s="5">
        <v>0</v>
      </c>
      <c r="E26" s="5">
        <f t="shared" ref="E26" si="30">C26+D26</f>
        <v>0</v>
      </c>
      <c r="F26" s="104" t="s">
        <v>83</v>
      </c>
      <c r="G26" s="5">
        <f t="shared" ref="G26" si="31">IFERROR(E26-F26,E26)</f>
        <v>0</v>
      </c>
      <c r="H26" s="104" t="s">
        <v>83</v>
      </c>
      <c r="I26" s="6">
        <v>0</v>
      </c>
      <c r="J26" s="103">
        <f t="shared" si="23"/>
        <v>0</v>
      </c>
      <c r="K26" s="173">
        <f>K24</f>
        <v>4.4999999999999998E-2</v>
      </c>
      <c r="L26" s="106">
        <f t="shared" si="24"/>
        <v>0</v>
      </c>
      <c r="M26" s="103">
        <f t="shared" si="25"/>
        <v>0</v>
      </c>
      <c r="P26" s="4" t="str">
        <f t="shared" ref="P26" si="32">B26</f>
        <v>Other Approved Products</v>
      </c>
      <c r="Q26" s="8" t="s">
        <v>83</v>
      </c>
      <c r="R26" s="5">
        <f t="shared" ref="R26" si="33">IFERROR(Q26*M26,0)</f>
        <v>0</v>
      </c>
      <c r="S26" s="8" t="s">
        <v>83</v>
      </c>
      <c r="T26" s="5">
        <f t="shared" ref="T26" si="34">IF(S26="--", 0,M26*S26)</f>
        <v>0</v>
      </c>
      <c r="U26" s="5">
        <f t="shared" ref="U26" si="35">T26-R26</f>
        <v>0</v>
      </c>
      <c r="V26" s="6">
        <v>0</v>
      </c>
      <c r="W26" s="5">
        <f t="shared" ref="W26" si="36">V26*R26</f>
        <v>0</v>
      </c>
      <c r="X26" s="104" t="s">
        <v>83</v>
      </c>
      <c r="Y26" s="104" t="s">
        <v>83</v>
      </c>
      <c r="Z26" s="104" t="s">
        <v>83</v>
      </c>
      <c r="AA26" s="5">
        <f t="shared" ref="AA26" si="37">IF(Z26="--",U26+W26,U26+W26+Z26)</f>
        <v>0</v>
      </c>
      <c r="AB26" s="10">
        <f t="shared" ref="AB26" si="38">R26+AA26</f>
        <v>0</v>
      </c>
      <c r="AE26" s="4" t="str">
        <f t="shared" ref="AE26" si="39">P26</f>
        <v>Other Approved Products</v>
      </c>
      <c r="AF26" s="11">
        <f>AF24</f>
        <v>0.03</v>
      </c>
      <c r="AG26" s="10">
        <f t="shared" si="18"/>
        <v>0</v>
      </c>
      <c r="AH26" s="7">
        <v>0</v>
      </c>
      <c r="AI26" s="10">
        <f t="shared" ref="AI26" si="40">E26*AH26</f>
        <v>0</v>
      </c>
      <c r="AJ26" s="10">
        <f t="shared" si="20"/>
        <v>0</v>
      </c>
      <c r="AK26" s="104" t="s">
        <v>83</v>
      </c>
      <c r="AL26" s="10"/>
      <c r="AM26" s="10"/>
      <c r="AN26" s="10"/>
      <c r="AO26" s="10"/>
      <c r="AP26" s="10"/>
      <c r="AR26" s="1"/>
      <c r="AS26" s="30"/>
      <c r="AU26" s="5"/>
    </row>
    <row r="27" spans="2:47" x14ac:dyDescent="0.35">
      <c r="B27" s="4" t="s">
        <v>13</v>
      </c>
      <c r="C27" s="5">
        <v>0</v>
      </c>
      <c r="D27" s="5">
        <v>0</v>
      </c>
      <c r="E27" s="5">
        <f t="shared" si="21"/>
        <v>0</v>
      </c>
      <c r="F27" s="104" t="s">
        <v>83</v>
      </c>
      <c r="G27" s="5">
        <f t="shared" si="22"/>
        <v>0</v>
      </c>
      <c r="H27" s="104" t="s">
        <v>83</v>
      </c>
      <c r="I27" s="6">
        <v>0</v>
      </c>
      <c r="J27" s="103">
        <f t="shared" si="23"/>
        <v>0</v>
      </c>
      <c r="K27" s="173">
        <f>K25</f>
        <v>4.4999999999999998E-2</v>
      </c>
      <c r="L27" s="106">
        <f t="shared" si="24"/>
        <v>0</v>
      </c>
      <c r="M27" s="103">
        <f t="shared" si="25"/>
        <v>0</v>
      </c>
      <c r="P27" s="4" t="str">
        <f t="shared" si="11"/>
        <v>Surety - Total</v>
      </c>
      <c r="Q27" s="8" t="s">
        <v>83</v>
      </c>
      <c r="R27" s="5">
        <f t="shared" si="12"/>
        <v>0</v>
      </c>
      <c r="S27" s="8" t="s">
        <v>83</v>
      </c>
      <c r="T27" s="5">
        <f t="shared" si="13"/>
        <v>0</v>
      </c>
      <c r="U27" s="5">
        <f t="shared" si="14"/>
        <v>0</v>
      </c>
      <c r="V27" s="6">
        <v>0</v>
      </c>
      <c r="W27" s="5">
        <f t="shared" si="15"/>
        <v>0</v>
      </c>
      <c r="X27" s="104" t="s">
        <v>83</v>
      </c>
      <c r="Y27" s="104" t="s">
        <v>83</v>
      </c>
      <c r="Z27" s="104" t="s">
        <v>83</v>
      </c>
      <c r="AA27" s="5">
        <f t="shared" si="26"/>
        <v>0</v>
      </c>
      <c r="AB27" s="10">
        <f t="shared" si="16"/>
        <v>0</v>
      </c>
      <c r="AE27" s="4" t="str">
        <f t="shared" si="17"/>
        <v>Surety - Total</v>
      </c>
      <c r="AF27" s="11">
        <f>AF25</f>
        <v>0.03</v>
      </c>
      <c r="AG27" s="10">
        <f t="shared" si="18"/>
        <v>0</v>
      </c>
      <c r="AH27" s="7">
        <v>0</v>
      </c>
      <c r="AI27" s="10">
        <f t="shared" si="19"/>
        <v>0</v>
      </c>
      <c r="AJ27" s="10">
        <f t="shared" si="20"/>
        <v>0</v>
      </c>
      <c r="AK27" s="104" t="s">
        <v>83</v>
      </c>
      <c r="AL27" s="10"/>
      <c r="AM27" s="10"/>
      <c r="AN27" s="10"/>
      <c r="AO27" s="10"/>
      <c r="AP27" s="10"/>
      <c r="AR27" s="1"/>
      <c r="AS27" s="30"/>
      <c r="AU27" s="5"/>
    </row>
    <row r="28" spans="2:47" x14ac:dyDescent="0.35">
      <c r="B28" s="4" t="s">
        <v>9</v>
      </c>
      <c r="C28" s="5">
        <v>0</v>
      </c>
      <c r="D28" s="5">
        <v>0</v>
      </c>
      <c r="E28" s="5">
        <f t="shared" si="21"/>
        <v>0</v>
      </c>
      <c r="F28" s="104" t="s">
        <v>83</v>
      </c>
      <c r="G28" s="5">
        <f t="shared" si="22"/>
        <v>0</v>
      </c>
      <c r="H28" s="104" t="s">
        <v>83</v>
      </c>
      <c r="I28" s="6">
        <v>0</v>
      </c>
      <c r="J28" s="103">
        <f t="shared" si="23"/>
        <v>0</v>
      </c>
      <c r="K28" s="173">
        <f t="shared" si="27"/>
        <v>4.4999999999999998E-2</v>
      </c>
      <c r="L28" s="106">
        <f t="shared" si="24"/>
        <v>0</v>
      </c>
      <c r="M28" s="103">
        <f t="shared" si="25"/>
        <v>0</v>
      </c>
      <c r="P28" s="4" t="str">
        <f t="shared" si="11"/>
        <v>Title</v>
      </c>
      <c r="Q28" s="8" t="s">
        <v>83</v>
      </c>
      <c r="R28" s="5">
        <f t="shared" si="12"/>
        <v>0</v>
      </c>
      <c r="S28" s="8" t="s">
        <v>83</v>
      </c>
      <c r="T28" s="5">
        <f t="shared" si="13"/>
        <v>0</v>
      </c>
      <c r="U28" s="5">
        <f t="shared" si="14"/>
        <v>0</v>
      </c>
      <c r="V28" s="6">
        <v>0</v>
      </c>
      <c r="W28" s="5">
        <f t="shared" si="15"/>
        <v>0</v>
      </c>
      <c r="X28" s="104" t="s">
        <v>83</v>
      </c>
      <c r="Y28" s="104" t="s">
        <v>83</v>
      </c>
      <c r="Z28" s="104" t="s">
        <v>83</v>
      </c>
      <c r="AA28" s="5">
        <f t="shared" si="26"/>
        <v>0</v>
      </c>
      <c r="AB28" s="10">
        <f t="shared" si="16"/>
        <v>0</v>
      </c>
      <c r="AE28" s="4" t="str">
        <f t="shared" si="17"/>
        <v>Title</v>
      </c>
      <c r="AF28" s="11">
        <f t="shared" si="28"/>
        <v>0.03</v>
      </c>
      <c r="AG28" s="10">
        <f t="shared" si="18"/>
        <v>0</v>
      </c>
      <c r="AH28" s="7">
        <v>0</v>
      </c>
      <c r="AI28" s="10">
        <f t="shared" si="19"/>
        <v>0</v>
      </c>
      <c r="AJ28" s="10">
        <f t="shared" si="20"/>
        <v>0</v>
      </c>
      <c r="AK28" s="104" t="s">
        <v>83</v>
      </c>
      <c r="AL28" s="10"/>
      <c r="AM28" s="10"/>
      <c r="AN28" s="10"/>
      <c r="AO28" s="10"/>
      <c r="AP28" s="10"/>
      <c r="AR28" s="1"/>
      <c r="AS28" s="30"/>
      <c r="AU28" s="5"/>
    </row>
    <row r="29" spans="2:47" x14ac:dyDescent="0.35">
      <c r="B29" s="4" t="s">
        <v>10</v>
      </c>
      <c r="C29" s="5">
        <v>0</v>
      </c>
      <c r="D29" s="5">
        <v>0</v>
      </c>
      <c r="E29" s="5">
        <f t="shared" ref="E29" si="41">C29+D29</f>
        <v>0</v>
      </c>
      <c r="F29" s="104" t="s">
        <v>83</v>
      </c>
      <c r="G29" s="5">
        <f t="shared" ref="G29" si="42">IFERROR(E29-F29,E29)</f>
        <v>0</v>
      </c>
      <c r="H29" s="104" t="s">
        <v>83</v>
      </c>
      <c r="I29" s="6">
        <v>0</v>
      </c>
      <c r="J29" s="103">
        <f t="shared" si="23"/>
        <v>0</v>
      </c>
      <c r="K29" s="173">
        <f t="shared" si="27"/>
        <v>4.4999999999999998E-2</v>
      </c>
      <c r="L29" s="106">
        <f t="shared" si="24"/>
        <v>0</v>
      </c>
      <c r="M29" s="103">
        <f t="shared" si="25"/>
        <v>0</v>
      </c>
      <c r="P29" s="4" t="str">
        <f t="shared" ref="P29" si="43">B29</f>
        <v>Marine</v>
      </c>
      <c r="Q29" s="8" t="s">
        <v>83</v>
      </c>
      <c r="R29" s="5">
        <f t="shared" si="12"/>
        <v>0</v>
      </c>
      <c r="S29" s="8" t="s">
        <v>83</v>
      </c>
      <c r="T29" s="5">
        <f t="shared" si="13"/>
        <v>0</v>
      </c>
      <c r="U29" s="5">
        <f t="shared" si="14"/>
        <v>0</v>
      </c>
      <c r="V29" s="6">
        <v>0</v>
      </c>
      <c r="W29" s="5">
        <f t="shared" si="15"/>
        <v>0</v>
      </c>
      <c r="X29" s="104" t="s">
        <v>83</v>
      </c>
      <c r="Y29" s="104" t="s">
        <v>83</v>
      </c>
      <c r="Z29" s="104" t="s">
        <v>83</v>
      </c>
      <c r="AA29" s="5">
        <f t="shared" ref="AA29" si="44">IF(Z29="--",U29+W29,U29+W29+Z29)</f>
        <v>0</v>
      </c>
      <c r="AB29" s="10">
        <f t="shared" si="16"/>
        <v>0</v>
      </c>
      <c r="AE29" s="4" t="str">
        <f t="shared" si="17"/>
        <v>Marine</v>
      </c>
      <c r="AF29" s="11">
        <f>AF27</f>
        <v>0.03</v>
      </c>
      <c r="AG29" s="10">
        <f t="shared" si="18"/>
        <v>0</v>
      </c>
      <c r="AH29" s="7">
        <v>0</v>
      </c>
      <c r="AI29" s="10">
        <f t="shared" si="19"/>
        <v>0</v>
      </c>
      <c r="AJ29" s="10">
        <f t="shared" si="20"/>
        <v>0</v>
      </c>
      <c r="AK29" s="104" t="s">
        <v>83</v>
      </c>
      <c r="AL29" s="10"/>
      <c r="AM29" s="10"/>
      <c r="AN29" s="10"/>
      <c r="AO29" s="10"/>
      <c r="AP29" s="10"/>
      <c r="AR29" s="1"/>
      <c r="AS29" s="30"/>
      <c r="AU29" s="5"/>
    </row>
    <row r="30" spans="2:47" x14ac:dyDescent="0.35">
      <c r="B30" s="4" t="s">
        <v>116</v>
      </c>
      <c r="C30" s="5">
        <v>0</v>
      </c>
      <c r="D30" s="5">
        <v>0</v>
      </c>
      <c r="E30" s="5">
        <f t="shared" si="21"/>
        <v>0</v>
      </c>
      <c r="F30" s="104" t="s">
        <v>83</v>
      </c>
      <c r="G30" s="5">
        <f t="shared" si="22"/>
        <v>0</v>
      </c>
      <c r="H30" s="104" t="s">
        <v>83</v>
      </c>
      <c r="I30" s="6">
        <v>0</v>
      </c>
      <c r="J30" s="103">
        <f t="shared" si="23"/>
        <v>0</v>
      </c>
      <c r="K30" s="173">
        <f t="shared" si="27"/>
        <v>4.4999999999999998E-2</v>
      </c>
      <c r="L30" s="106">
        <f t="shared" si="24"/>
        <v>0</v>
      </c>
      <c r="M30" s="103">
        <f t="shared" si="25"/>
        <v>0</v>
      </c>
      <c r="P30" s="4" t="str">
        <f t="shared" si="11"/>
        <v>Accident &amp; Sickness</v>
      </c>
      <c r="Q30" s="8" t="s">
        <v>83</v>
      </c>
      <c r="R30" s="5">
        <f t="shared" si="12"/>
        <v>0</v>
      </c>
      <c r="S30" s="8" t="s">
        <v>83</v>
      </c>
      <c r="T30" s="5">
        <f t="shared" si="13"/>
        <v>0</v>
      </c>
      <c r="U30" s="5">
        <f t="shared" si="14"/>
        <v>0</v>
      </c>
      <c r="V30" s="6">
        <v>0</v>
      </c>
      <c r="W30" s="5">
        <f t="shared" si="15"/>
        <v>0</v>
      </c>
      <c r="X30" s="104" t="s">
        <v>83</v>
      </c>
      <c r="Y30" s="104" t="s">
        <v>83</v>
      </c>
      <c r="Z30" s="104" t="s">
        <v>83</v>
      </c>
      <c r="AA30" s="5">
        <f t="shared" si="26"/>
        <v>0</v>
      </c>
      <c r="AB30" s="10">
        <f t="shared" si="16"/>
        <v>0</v>
      </c>
      <c r="AE30" s="4" t="str">
        <f t="shared" si="17"/>
        <v>Accident &amp; Sickness</v>
      </c>
      <c r="AF30" s="11">
        <f>AF28</f>
        <v>0.03</v>
      </c>
      <c r="AG30" s="10">
        <f t="shared" si="18"/>
        <v>0</v>
      </c>
      <c r="AH30" s="7">
        <v>0</v>
      </c>
      <c r="AI30" s="10">
        <f t="shared" si="19"/>
        <v>0</v>
      </c>
      <c r="AJ30" s="10">
        <f t="shared" si="20"/>
        <v>0</v>
      </c>
      <c r="AK30" s="104" t="s">
        <v>83</v>
      </c>
      <c r="AL30" s="10"/>
      <c r="AM30" s="10"/>
      <c r="AN30" s="10"/>
      <c r="AO30" s="10"/>
      <c r="AP30" s="10"/>
      <c r="AR30" s="1"/>
      <c r="AS30" s="30"/>
      <c r="AU30" s="5"/>
    </row>
    <row r="31" spans="2:47" s="108" customFormat="1" x14ac:dyDescent="0.35">
      <c r="B31" s="15" t="s">
        <v>0</v>
      </c>
      <c r="C31" s="16">
        <f t="shared" ref="C31:G31" si="45">SUM(C10:C30)</f>
        <v>118000</v>
      </c>
      <c r="D31" s="16">
        <f t="shared" si="45"/>
        <v>5000</v>
      </c>
      <c r="E31" s="16">
        <f t="shared" si="45"/>
        <v>123000</v>
      </c>
      <c r="F31" s="178" t="s">
        <v>83</v>
      </c>
      <c r="G31" s="16">
        <f t="shared" si="45"/>
        <v>123000</v>
      </c>
      <c r="H31" s="178" t="s">
        <v>83</v>
      </c>
      <c r="I31" s="17">
        <f>SUMPRODUCT(I10:I30, $E10:$E30)/E31</f>
        <v>0.93861788617886177</v>
      </c>
      <c r="J31" s="107">
        <f>SUM(J10:J30)</f>
        <v>115450</v>
      </c>
      <c r="K31" s="174">
        <f>K30</f>
        <v>4.4999999999999998E-2</v>
      </c>
      <c r="L31" s="107">
        <f>SUM(L10:L30)</f>
        <v>5069.25</v>
      </c>
      <c r="M31" s="18">
        <f>SUM(M10:M30)</f>
        <v>120519.25</v>
      </c>
      <c r="P31" s="15" t="str">
        <f t="shared" si="11"/>
        <v>Total</v>
      </c>
      <c r="Q31" s="35">
        <f>R31/M31</f>
        <v>0.93566992264669036</v>
      </c>
      <c r="R31" s="18">
        <f>SUM(R10:R30)</f>
        <v>112766.23732493713</v>
      </c>
      <c r="S31" s="35">
        <f>T31/M31</f>
        <v>0.95288656173637509</v>
      </c>
      <c r="T31" s="16">
        <f>SUM(T10:T30)</f>
        <v>114841.17375554662</v>
      </c>
      <c r="U31" s="16">
        <f>SUM(U10:U30)</f>
        <v>2074.9364306094944</v>
      </c>
      <c r="V31" s="37">
        <f>W31/R31</f>
        <v>9.7626778737301745E-2</v>
      </c>
      <c r="W31" s="16">
        <f t="shared" ref="W31:AB31" si="46">SUM(W10:W30)</f>
        <v>11009.004500359695</v>
      </c>
      <c r="X31" s="178" t="s">
        <v>83</v>
      </c>
      <c r="Y31" s="178" t="s">
        <v>83</v>
      </c>
      <c r="Z31" s="178" t="s">
        <v>83</v>
      </c>
      <c r="AA31" s="16">
        <f t="shared" si="46"/>
        <v>13083.940930969191</v>
      </c>
      <c r="AB31" s="18">
        <f t="shared" si="46"/>
        <v>125850.17825590631</v>
      </c>
      <c r="AE31" s="15" t="str">
        <f t="shared" si="17"/>
        <v>Total</v>
      </c>
      <c r="AF31" s="38">
        <f>AG31/E31</f>
        <v>0.03</v>
      </c>
      <c r="AG31" s="18">
        <f>SUM(AG10:AG30)</f>
        <v>3690</v>
      </c>
      <c r="AH31" s="38">
        <f>AI31/E31</f>
        <v>0</v>
      </c>
      <c r="AI31" s="18">
        <f>SUM(AI10:AI30)</f>
        <v>0</v>
      </c>
      <c r="AJ31" s="20">
        <f>AB31+AG31+AI31</f>
        <v>129540.17825590631</v>
      </c>
      <c r="AK31" s="180" t="s">
        <v>83</v>
      </c>
      <c r="AL31" s="18">
        <f>IF(AK31="--",G31-AJ31,G31-AJ31+AK31)</f>
        <v>-6540.178255906314</v>
      </c>
      <c r="AM31" s="18">
        <f>MAX(AL31,0)</f>
        <v>0</v>
      </c>
      <c r="AN31" s="18">
        <v>20000</v>
      </c>
      <c r="AO31" s="18">
        <f>MIN(AM31,AN31)</f>
        <v>0</v>
      </c>
      <c r="AP31" s="18">
        <f>IF(AL31&lt;0,-AL31,0)</f>
        <v>6540.178255906314</v>
      </c>
      <c r="AQ31"/>
      <c r="AR31" s="1"/>
      <c r="AS31" s="109"/>
      <c r="AT31" s="29"/>
    </row>
    <row r="32" spans="2:47" x14ac:dyDescent="0.35">
      <c r="AR32" s="1"/>
    </row>
    <row r="33" spans="2:46" x14ac:dyDescent="0.35">
      <c r="AR33" s="1"/>
    </row>
    <row r="34" spans="2:46" x14ac:dyDescent="0.35">
      <c r="AR34" s="1"/>
    </row>
    <row r="35" spans="2:46" x14ac:dyDescent="0.35">
      <c r="AR35" s="1"/>
    </row>
    <row r="36" spans="2:46" s="12" customFormat="1" x14ac:dyDescent="0.35">
      <c r="B36" s="12" t="s">
        <v>180</v>
      </c>
      <c r="H36" s="169" t="s">
        <v>155</v>
      </c>
      <c r="K36" s="67"/>
      <c r="L36" s="67"/>
      <c r="P36" s="169" t="s">
        <v>225</v>
      </c>
      <c r="U36" s="170" t="s">
        <v>132</v>
      </c>
      <c r="AB36" s="171"/>
      <c r="AE36" s="169" t="s">
        <v>193</v>
      </c>
      <c r="AL36" s="169" t="s">
        <v>146</v>
      </c>
      <c r="AR36" s="1"/>
      <c r="AT36" s="172"/>
    </row>
    <row r="37" spans="2:46" s="12" customFormat="1" x14ac:dyDescent="0.35">
      <c r="B37" s="12" t="s">
        <v>181</v>
      </c>
      <c r="H37" s="169" t="s">
        <v>190</v>
      </c>
      <c r="K37" s="67"/>
      <c r="L37" s="67"/>
      <c r="P37" s="169" t="s">
        <v>151</v>
      </c>
      <c r="U37" s="170" t="s">
        <v>133</v>
      </c>
      <c r="AB37" s="171"/>
      <c r="AE37" s="169" t="s">
        <v>214</v>
      </c>
      <c r="AL37" s="12" t="s">
        <v>147</v>
      </c>
      <c r="AR37" s="1"/>
      <c r="AT37" s="172"/>
    </row>
    <row r="38" spans="2:46" s="12" customFormat="1" x14ac:dyDescent="0.35">
      <c r="B38" s="12" t="s">
        <v>208</v>
      </c>
      <c r="H38" s="169" t="s">
        <v>191</v>
      </c>
      <c r="K38" s="67"/>
      <c r="L38" s="67"/>
      <c r="P38" s="169" t="s">
        <v>226</v>
      </c>
      <c r="U38" s="170" t="s">
        <v>142</v>
      </c>
      <c r="AB38" s="171"/>
      <c r="AE38" s="169" t="s">
        <v>213</v>
      </c>
      <c r="AL38" s="12" t="s">
        <v>148</v>
      </c>
      <c r="AR38" s="1"/>
      <c r="AT38" s="172"/>
    </row>
    <row r="39" spans="2:46" s="12" customFormat="1" x14ac:dyDescent="0.35">
      <c r="B39" s="12" t="s">
        <v>165</v>
      </c>
      <c r="K39" s="67"/>
      <c r="L39" s="67"/>
      <c r="P39" s="169" t="s">
        <v>140</v>
      </c>
      <c r="U39" s="169" t="s">
        <v>143</v>
      </c>
      <c r="AB39" s="171"/>
      <c r="AE39" s="169" t="s">
        <v>215</v>
      </c>
      <c r="AL39" s="12" t="s">
        <v>149</v>
      </c>
      <c r="AR39" s="1"/>
      <c r="AT39" s="172"/>
    </row>
    <row r="40" spans="2:46" s="12" customFormat="1" x14ac:dyDescent="0.35">
      <c r="B40" s="12" t="s">
        <v>184</v>
      </c>
      <c r="K40" s="67"/>
      <c r="L40" s="67"/>
      <c r="P40" s="169" t="s">
        <v>192</v>
      </c>
      <c r="U40" s="169" t="s">
        <v>144</v>
      </c>
      <c r="AB40" s="171"/>
      <c r="AE40" s="169" t="s">
        <v>219</v>
      </c>
      <c r="AT40" s="172"/>
    </row>
    <row r="41" spans="2:46" s="12" customFormat="1" x14ac:dyDescent="0.35">
      <c r="B41" s="169" t="s">
        <v>166</v>
      </c>
      <c r="K41" s="67"/>
      <c r="L41" s="67"/>
      <c r="P41" s="169" t="s">
        <v>167</v>
      </c>
      <c r="AB41" s="171"/>
      <c r="AE41" s="12" t="s">
        <v>145</v>
      </c>
      <c r="AT41" s="172"/>
    </row>
    <row r="42" spans="2:46" s="12" customFormat="1" x14ac:dyDescent="0.35">
      <c r="B42" s="12" t="s">
        <v>186</v>
      </c>
      <c r="K42" s="67"/>
      <c r="L42" s="67"/>
      <c r="P42" s="169" t="s">
        <v>141</v>
      </c>
      <c r="AB42" s="171"/>
      <c r="AE42" s="12" t="s">
        <v>176</v>
      </c>
      <c r="AI42" s="39"/>
      <c r="AT42" s="172"/>
    </row>
    <row r="43" spans="2:46" x14ac:dyDescent="0.35">
      <c r="B43" s="169" t="s">
        <v>188</v>
      </c>
      <c r="P43" s="12" t="s">
        <v>1</v>
      </c>
      <c r="U43" s="12" t="s">
        <v>1</v>
      </c>
      <c r="AC43" s="12"/>
      <c r="AI43" s="39" t="s">
        <v>1</v>
      </c>
    </row>
  </sheetData>
  <customSheetViews>
    <customSheetView guid="{020FDF89-1AED-46D2-96B6-2FF201CB5CDD}" showPageBreaks="1" printArea="1" view="pageBreakPreview">
      <selection activeCell="X9" sqref="X9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1"/>
    </customSheetView>
    <customSheetView guid="{1A2B400A-4A27-4699-A7C5-54ECA3456E42}" showPageBreaks="1" printArea="1" view="pageBreakPreview" topLeftCell="A4">
      <selection activeCell="A33" sqref="A33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2"/>
    </customSheetView>
    <customSheetView guid="{1E3D3DC7-1899-4018-BCDC-6919FAD5C5D1}" showPageBreaks="1" printArea="1" view="pageBreakPreview">
      <selection activeCell="X9" sqref="X9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3"/>
    </customSheetView>
  </customSheetViews>
  <mergeCells count="1">
    <mergeCell ref="AL6:AP6"/>
  </mergeCells>
  <printOptions horizontalCentered="1"/>
  <pageMargins left="0.39370078740157483" right="0.39370078740157483" top="0.59055118110236227" bottom="0.19685039370078741" header="0.31496062992125984" footer="0.31496062992125984"/>
  <pageSetup scale="62" fitToWidth="3" orientation="landscape" r:id="rId4"/>
  <colBreaks count="2" manualBreakCount="2">
    <brk id="14" max="41" man="1"/>
    <brk id="29" max="41" man="1"/>
  </colBreaks>
  <ignoredErrors>
    <ignoredError sqref="I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120"/>
  <sheetViews>
    <sheetView view="pageBreakPreview" zoomScaleNormal="75" zoomScaleSheetLayoutView="100" workbookViewId="0">
      <selection activeCell="AD11" sqref="AD11"/>
    </sheetView>
  </sheetViews>
  <sheetFormatPr defaultColWidth="11.453125" defaultRowHeight="14.5" x14ac:dyDescent="0.35"/>
  <cols>
    <col min="1" max="1" width="3.7265625" style="41" customWidth="1"/>
    <col min="2" max="2" width="9.453125" style="45" customWidth="1"/>
    <col min="3" max="3" width="13.26953125" style="40" customWidth="1"/>
    <col min="4" max="4" width="12.26953125" style="40" customWidth="1"/>
    <col min="5" max="5" width="13.7265625" style="40" customWidth="1"/>
    <col min="6" max="6" width="11.7265625" style="40" customWidth="1"/>
    <col min="7" max="7" width="12.26953125" style="40" customWidth="1"/>
    <col min="8" max="9" width="11.7265625" style="40" customWidth="1"/>
    <col min="10" max="10" width="12.81640625" style="40" customWidth="1"/>
    <col min="11" max="11" width="11.7265625" style="40" customWidth="1"/>
    <col min="12" max="12" width="3.7265625" style="40" customWidth="1"/>
    <col min="13" max="13" width="3.7265625" style="41" customWidth="1"/>
    <col min="14" max="14" width="12.7265625" style="45" customWidth="1"/>
    <col min="15" max="22" width="12.7265625" style="40" customWidth="1"/>
    <col min="23" max="24" width="3.7265625" style="41" customWidth="1"/>
    <col min="25" max="25" width="12.1796875" style="113" customWidth="1"/>
    <col min="26" max="27" width="13.7265625" style="112" customWidth="1"/>
    <col min="28" max="28" width="17.54296875" style="112" customWidth="1"/>
    <col min="29" max="29" width="17.81640625" style="112" customWidth="1"/>
    <col min="30" max="30" width="17.1796875" style="112" customWidth="1"/>
    <col min="31" max="31" width="3.7265625" style="131" customWidth="1"/>
    <col min="32" max="251" width="11.453125" style="41"/>
    <col min="252" max="252" width="8.7265625" style="41" customWidth="1"/>
    <col min="253" max="253" width="13.26953125" style="41" customWidth="1"/>
    <col min="254" max="254" width="12.26953125" style="41" customWidth="1"/>
    <col min="255" max="255" width="13.7265625" style="41" customWidth="1"/>
    <col min="256" max="259" width="11.7265625" style="41" customWidth="1"/>
    <col min="260" max="260" width="12.81640625" style="41" customWidth="1"/>
    <col min="261" max="261" width="11.7265625" style="41" customWidth="1"/>
    <col min="262" max="262" width="5.453125" style="41" customWidth="1"/>
    <col min="263" max="507" width="11.453125" style="41"/>
    <col min="508" max="508" width="8.7265625" style="41" customWidth="1"/>
    <col min="509" max="509" width="13.26953125" style="41" customWidth="1"/>
    <col min="510" max="510" width="12.26953125" style="41" customWidth="1"/>
    <col min="511" max="511" width="13.7265625" style="41" customWidth="1"/>
    <col min="512" max="515" width="11.7265625" style="41" customWidth="1"/>
    <col min="516" max="516" width="12.81640625" style="41" customWidth="1"/>
    <col min="517" max="517" width="11.7265625" style="41" customWidth="1"/>
    <col min="518" max="518" width="5.453125" style="41" customWidth="1"/>
    <col min="519" max="763" width="11.453125" style="41"/>
    <col min="764" max="764" width="8.7265625" style="41" customWidth="1"/>
    <col min="765" max="765" width="13.26953125" style="41" customWidth="1"/>
    <col min="766" max="766" width="12.26953125" style="41" customWidth="1"/>
    <col min="767" max="767" width="13.7265625" style="41" customWidth="1"/>
    <col min="768" max="771" width="11.7265625" style="41" customWidth="1"/>
    <col min="772" max="772" width="12.81640625" style="41" customWidth="1"/>
    <col min="773" max="773" width="11.7265625" style="41" customWidth="1"/>
    <col min="774" max="774" width="5.453125" style="41" customWidth="1"/>
    <col min="775" max="1019" width="11.453125" style="41"/>
    <col min="1020" max="1020" width="8.7265625" style="41" customWidth="1"/>
    <col min="1021" max="1021" width="13.26953125" style="41" customWidth="1"/>
    <col min="1022" max="1022" width="12.26953125" style="41" customWidth="1"/>
    <col min="1023" max="1023" width="13.7265625" style="41" customWidth="1"/>
    <col min="1024" max="1027" width="11.7265625" style="41" customWidth="1"/>
    <col min="1028" max="1028" width="12.81640625" style="41" customWidth="1"/>
    <col min="1029" max="1029" width="11.7265625" style="41" customWidth="1"/>
    <col min="1030" max="1030" width="5.453125" style="41" customWidth="1"/>
    <col min="1031" max="1275" width="11.453125" style="41"/>
    <col min="1276" max="1276" width="8.7265625" style="41" customWidth="1"/>
    <col min="1277" max="1277" width="13.26953125" style="41" customWidth="1"/>
    <col min="1278" max="1278" width="12.26953125" style="41" customWidth="1"/>
    <col min="1279" max="1279" width="13.7265625" style="41" customWidth="1"/>
    <col min="1280" max="1283" width="11.7265625" style="41" customWidth="1"/>
    <col min="1284" max="1284" width="12.81640625" style="41" customWidth="1"/>
    <col min="1285" max="1285" width="11.7265625" style="41" customWidth="1"/>
    <col min="1286" max="1286" width="5.453125" style="41" customWidth="1"/>
    <col min="1287" max="1531" width="11.453125" style="41"/>
    <col min="1532" max="1532" width="8.7265625" style="41" customWidth="1"/>
    <col min="1533" max="1533" width="13.26953125" style="41" customWidth="1"/>
    <col min="1534" max="1534" width="12.26953125" style="41" customWidth="1"/>
    <col min="1535" max="1535" width="13.7265625" style="41" customWidth="1"/>
    <col min="1536" max="1539" width="11.7265625" style="41" customWidth="1"/>
    <col min="1540" max="1540" width="12.81640625" style="41" customWidth="1"/>
    <col min="1541" max="1541" width="11.7265625" style="41" customWidth="1"/>
    <col min="1542" max="1542" width="5.453125" style="41" customWidth="1"/>
    <col min="1543" max="1787" width="11.453125" style="41"/>
    <col min="1788" max="1788" width="8.7265625" style="41" customWidth="1"/>
    <col min="1789" max="1789" width="13.26953125" style="41" customWidth="1"/>
    <col min="1790" max="1790" width="12.26953125" style="41" customWidth="1"/>
    <col min="1791" max="1791" width="13.7265625" style="41" customWidth="1"/>
    <col min="1792" max="1795" width="11.7265625" style="41" customWidth="1"/>
    <col min="1796" max="1796" width="12.81640625" style="41" customWidth="1"/>
    <col min="1797" max="1797" width="11.7265625" style="41" customWidth="1"/>
    <col min="1798" max="1798" width="5.453125" style="41" customWidth="1"/>
    <col min="1799" max="2043" width="11.453125" style="41"/>
    <col min="2044" max="2044" width="8.7265625" style="41" customWidth="1"/>
    <col min="2045" max="2045" width="13.26953125" style="41" customWidth="1"/>
    <col min="2046" max="2046" width="12.26953125" style="41" customWidth="1"/>
    <col min="2047" max="2047" width="13.7265625" style="41" customWidth="1"/>
    <col min="2048" max="2051" width="11.7265625" style="41" customWidth="1"/>
    <col min="2052" max="2052" width="12.81640625" style="41" customWidth="1"/>
    <col min="2053" max="2053" width="11.7265625" style="41" customWidth="1"/>
    <col min="2054" max="2054" width="5.453125" style="41" customWidth="1"/>
    <col min="2055" max="2299" width="11.453125" style="41"/>
    <col min="2300" max="2300" width="8.7265625" style="41" customWidth="1"/>
    <col min="2301" max="2301" width="13.26953125" style="41" customWidth="1"/>
    <col min="2302" max="2302" width="12.26953125" style="41" customWidth="1"/>
    <col min="2303" max="2303" width="13.7265625" style="41" customWidth="1"/>
    <col min="2304" max="2307" width="11.7265625" style="41" customWidth="1"/>
    <col min="2308" max="2308" width="12.81640625" style="41" customWidth="1"/>
    <col min="2309" max="2309" width="11.7265625" style="41" customWidth="1"/>
    <col min="2310" max="2310" width="5.453125" style="41" customWidth="1"/>
    <col min="2311" max="2555" width="11.453125" style="41"/>
    <col min="2556" max="2556" width="8.7265625" style="41" customWidth="1"/>
    <col min="2557" max="2557" width="13.26953125" style="41" customWidth="1"/>
    <col min="2558" max="2558" width="12.26953125" style="41" customWidth="1"/>
    <col min="2559" max="2559" width="13.7265625" style="41" customWidth="1"/>
    <col min="2560" max="2563" width="11.7265625" style="41" customWidth="1"/>
    <col min="2564" max="2564" width="12.81640625" style="41" customWidth="1"/>
    <col min="2565" max="2565" width="11.7265625" style="41" customWidth="1"/>
    <col min="2566" max="2566" width="5.453125" style="41" customWidth="1"/>
    <col min="2567" max="2811" width="11.453125" style="41"/>
    <col min="2812" max="2812" width="8.7265625" style="41" customWidth="1"/>
    <col min="2813" max="2813" width="13.26953125" style="41" customWidth="1"/>
    <col min="2814" max="2814" width="12.26953125" style="41" customWidth="1"/>
    <col min="2815" max="2815" width="13.7265625" style="41" customWidth="1"/>
    <col min="2816" max="2819" width="11.7265625" style="41" customWidth="1"/>
    <col min="2820" max="2820" width="12.81640625" style="41" customWidth="1"/>
    <col min="2821" max="2821" width="11.7265625" style="41" customWidth="1"/>
    <col min="2822" max="2822" width="5.453125" style="41" customWidth="1"/>
    <col min="2823" max="3067" width="11.453125" style="41"/>
    <col min="3068" max="3068" width="8.7265625" style="41" customWidth="1"/>
    <col min="3069" max="3069" width="13.26953125" style="41" customWidth="1"/>
    <col min="3070" max="3070" width="12.26953125" style="41" customWidth="1"/>
    <col min="3071" max="3071" width="13.7265625" style="41" customWidth="1"/>
    <col min="3072" max="3075" width="11.7265625" style="41" customWidth="1"/>
    <col min="3076" max="3076" width="12.81640625" style="41" customWidth="1"/>
    <col min="3077" max="3077" width="11.7265625" style="41" customWidth="1"/>
    <col min="3078" max="3078" width="5.453125" style="41" customWidth="1"/>
    <col min="3079" max="3323" width="11.453125" style="41"/>
    <col min="3324" max="3324" width="8.7265625" style="41" customWidth="1"/>
    <col min="3325" max="3325" width="13.26953125" style="41" customWidth="1"/>
    <col min="3326" max="3326" width="12.26953125" style="41" customWidth="1"/>
    <col min="3327" max="3327" width="13.7265625" style="41" customWidth="1"/>
    <col min="3328" max="3331" width="11.7265625" style="41" customWidth="1"/>
    <col min="3332" max="3332" width="12.81640625" style="41" customWidth="1"/>
    <col min="3333" max="3333" width="11.7265625" style="41" customWidth="1"/>
    <col min="3334" max="3334" width="5.453125" style="41" customWidth="1"/>
    <col min="3335" max="3579" width="11.453125" style="41"/>
    <col min="3580" max="3580" width="8.7265625" style="41" customWidth="1"/>
    <col min="3581" max="3581" width="13.26953125" style="41" customWidth="1"/>
    <col min="3582" max="3582" width="12.26953125" style="41" customWidth="1"/>
    <col min="3583" max="3583" width="13.7265625" style="41" customWidth="1"/>
    <col min="3584" max="3587" width="11.7265625" style="41" customWidth="1"/>
    <col min="3588" max="3588" width="12.81640625" style="41" customWidth="1"/>
    <col min="3589" max="3589" width="11.7265625" style="41" customWidth="1"/>
    <col min="3590" max="3590" width="5.453125" style="41" customWidth="1"/>
    <col min="3591" max="3835" width="11.453125" style="41"/>
    <col min="3836" max="3836" width="8.7265625" style="41" customWidth="1"/>
    <col min="3837" max="3837" width="13.26953125" style="41" customWidth="1"/>
    <col min="3838" max="3838" width="12.26953125" style="41" customWidth="1"/>
    <col min="3839" max="3839" width="13.7265625" style="41" customWidth="1"/>
    <col min="3840" max="3843" width="11.7265625" style="41" customWidth="1"/>
    <col min="3844" max="3844" width="12.81640625" style="41" customWidth="1"/>
    <col min="3845" max="3845" width="11.7265625" style="41" customWidth="1"/>
    <col min="3846" max="3846" width="5.453125" style="41" customWidth="1"/>
    <col min="3847" max="4091" width="11.453125" style="41"/>
    <col min="4092" max="4092" width="8.7265625" style="41" customWidth="1"/>
    <col min="4093" max="4093" width="13.26953125" style="41" customWidth="1"/>
    <col min="4094" max="4094" width="12.26953125" style="41" customWidth="1"/>
    <col min="4095" max="4095" width="13.7265625" style="41" customWidth="1"/>
    <col min="4096" max="4099" width="11.7265625" style="41" customWidth="1"/>
    <col min="4100" max="4100" width="12.81640625" style="41" customWidth="1"/>
    <col min="4101" max="4101" width="11.7265625" style="41" customWidth="1"/>
    <col min="4102" max="4102" width="5.453125" style="41" customWidth="1"/>
    <col min="4103" max="4347" width="11.453125" style="41"/>
    <col min="4348" max="4348" width="8.7265625" style="41" customWidth="1"/>
    <col min="4349" max="4349" width="13.26953125" style="41" customWidth="1"/>
    <col min="4350" max="4350" width="12.26953125" style="41" customWidth="1"/>
    <col min="4351" max="4351" width="13.7265625" style="41" customWidth="1"/>
    <col min="4352" max="4355" width="11.7265625" style="41" customWidth="1"/>
    <col min="4356" max="4356" width="12.81640625" style="41" customWidth="1"/>
    <col min="4357" max="4357" width="11.7265625" style="41" customWidth="1"/>
    <col min="4358" max="4358" width="5.453125" style="41" customWidth="1"/>
    <col min="4359" max="4603" width="11.453125" style="41"/>
    <col min="4604" max="4604" width="8.7265625" style="41" customWidth="1"/>
    <col min="4605" max="4605" width="13.26953125" style="41" customWidth="1"/>
    <col min="4606" max="4606" width="12.26953125" style="41" customWidth="1"/>
    <col min="4607" max="4607" width="13.7265625" style="41" customWidth="1"/>
    <col min="4608" max="4611" width="11.7265625" style="41" customWidth="1"/>
    <col min="4612" max="4612" width="12.81640625" style="41" customWidth="1"/>
    <col min="4613" max="4613" width="11.7265625" style="41" customWidth="1"/>
    <col min="4614" max="4614" width="5.453125" style="41" customWidth="1"/>
    <col min="4615" max="4859" width="11.453125" style="41"/>
    <col min="4860" max="4860" width="8.7265625" style="41" customWidth="1"/>
    <col min="4861" max="4861" width="13.26953125" style="41" customWidth="1"/>
    <col min="4862" max="4862" width="12.26953125" style="41" customWidth="1"/>
    <col min="4863" max="4863" width="13.7265625" style="41" customWidth="1"/>
    <col min="4864" max="4867" width="11.7265625" style="41" customWidth="1"/>
    <col min="4868" max="4868" width="12.81640625" style="41" customWidth="1"/>
    <col min="4869" max="4869" width="11.7265625" style="41" customWidth="1"/>
    <col min="4870" max="4870" width="5.453125" style="41" customWidth="1"/>
    <col min="4871" max="5115" width="11.453125" style="41"/>
    <col min="5116" max="5116" width="8.7265625" style="41" customWidth="1"/>
    <col min="5117" max="5117" width="13.26953125" style="41" customWidth="1"/>
    <col min="5118" max="5118" width="12.26953125" style="41" customWidth="1"/>
    <col min="5119" max="5119" width="13.7265625" style="41" customWidth="1"/>
    <col min="5120" max="5123" width="11.7265625" style="41" customWidth="1"/>
    <col min="5124" max="5124" width="12.81640625" style="41" customWidth="1"/>
    <col min="5125" max="5125" width="11.7265625" style="41" customWidth="1"/>
    <col min="5126" max="5126" width="5.453125" style="41" customWidth="1"/>
    <col min="5127" max="5371" width="11.453125" style="41"/>
    <col min="5372" max="5372" width="8.7265625" style="41" customWidth="1"/>
    <col min="5373" max="5373" width="13.26953125" style="41" customWidth="1"/>
    <col min="5374" max="5374" width="12.26953125" style="41" customWidth="1"/>
    <col min="5375" max="5375" width="13.7265625" style="41" customWidth="1"/>
    <col min="5376" max="5379" width="11.7265625" style="41" customWidth="1"/>
    <col min="5380" max="5380" width="12.81640625" style="41" customWidth="1"/>
    <col min="5381" max="5381" width="11.7265625" style="41" customWidth="1"/>
    <col min="5382" max="5382" width="5.453125" style="41" customWidth="1"/>
    <col min="5383" max="5627" width="11.453125" style="41"/>
    <col min="5628" max="5628" width="8.7265625" style="41" customWidth="1"/>
    <col min="5629" max="5629" width="13.26953125" style="41" customWidth="1"/>
    <col min="5630" max="5630" width="12.26953125" style="41" customWidth="1"/>
    <col min="5631" max="5631" width="13.7265625" style="41" customWidth="1"/>
    <col min="5632" max="5635" width="11.7265625" style="41" customWidth="1"/>
    <col min="5636" max="5636" width="12.81640625" style="41" customWidth="1"/>
    <col min="5637" max="5637" width="11.7265625" style="41" customWidth="1"/>
    <col min="5638" max="5638" width="5.453125" style="41" customWidth="1"/>
    <col min="5639" max="5883" width="11.453125" style="41"/>
    <col min="5884" max="5884" width="8.7265625" style="41" customWidth="1"/>
    <col min="5885" max="5885" width="13.26953125" style="41" customWidth="1"/>
    <col min="5886" max="5886" width="12.26953125" style="41" customWidth="1"/>
    <col min="5887" max="5887" width="13.7265625" style="41" customWidth="1"/>
    <col min="5888" max="5891" width="11.7265625" style="41" customWidth="1"/>
    <col min="5892" max="5892" width="12.81640625" style="41" customWidth="1"/>
    <col min="5893" max="5893" width="11.7265625" style="41" customWidth="1"/>
    <col min="5894" max="5894" width="5.453125" style="41" customWidth="1"/>
    <col min="5895" max="6139" width="11.453125" style="41"/>
    <col min="6140" max="6140" width="8.7265625" style="41" customWidth="1"/>
    <col min="6141" max="6141" width="13.26953125" style="41" customWidth="1"/>
    <col min="6142" max="6142" width="12.26953125" style="41" customWidth="1"/>
    <col min="6143" max="6143" width="13.7265625" style="41" customWidth="1"/>
    <col min="6144" max="6147" width="11.7265625" style="41" customWidth="1"/>
    <col min="6148" max="6148" width="12.81640625" style="41" customWidth="1"/>
    <col min="6149" max="6149" width="11.7265625" style="41" customWidth="1"/>
    <col min="6150" max="6150" width="5.453125" style="41" customWidth="1"/>
    <col min="6151" max="6395" width="11.453125" style="41"/>
    <col min="6396" max="6396" width="8.7265625" style="41" customWidth="1"/>
    <col min="6397" max="6397" width="13.26953125" style="41" customWidth="1"/>
    <col min="6398" max="6398" width="12.26953125" style="41" customWidth="1"/>
    <col min="6399" max="6399" width="13.7265625" style="41" customWidth="1"/>
    <col min="6400" max="6403" width="11.7265625" style="41" customWidth="1"/>
    <col min="6404" max="6404" width="12.81640625" style="41" customWidth="1"/>
    <col min="6405" max="6405" width="11.7265625" style="41" customWidth="1"/>
    <col min="6406" max="6406" width="5.453125" style="41" customWidth="1"/>
    <col min="6407" max="6651" width="11.453125" style="41"/>
    <col min="6652" max="6652" width="8.7265625" style="41" customWidth="1"/>
    <col min="6653" max="6653" width="13.26953125" style="41" customWidth="1"/>
    <col min="6654" max="6654" width="12.26953125" style="41" customWidth="1"/>
    <col min="6655" max="6655" width="13.7265625" style="41" customWidth="1"/>
    <col min="6656" max="6659" width="11.7265625" style="41" customWidth="1"/>
    <col min="6660" max="6660" width="12.81640625" style="41" customWidth="1"/>
    <col min="6661" max="6661" width="11.7265625" style="41" customWidth="1"/>
    <col min="6662" max="6662" width="5.453125" style="41" customWidth="1"/>
    <col min="6663" max="6907" width="11.453125" style="41"/>
    <col min="6908" max="6908" width="8.7265625" style="41" customWidth="1"/>
    <col min="6909" max="6909" width="13.26953125" style="41" customWidth="1"/>
    <col min="6910" max="6910" width="12.26953125" style="41" customWidth="1"/>
    <col min="6911" max="6911" width="13.7265625" style="41" customWidth="1"/>
    <col min="6912" max="6915" width="11.7265625" style="41" customWidth="1"/>
    <col min="6916" max="6916" width="12.81640625" style="41" customWidth="1"/>
    <col min="6917" max="6917" width="11.7265625" style="41" customWidth="1"/>
    <col min="6918" max="6918" width="5.453125" style="41" customWidth="1"/>
    <col min="6919" max="7163" width="11.453125" style="41"/>
    <col min="7164" max="7164" width="8.7265625" style="41" customWidth="1"/>
    <col min="7165" max="7165" width="13.26953125" style="41" customWidth="1"/>
    <col min="7166" max="7166" width="12.26953125" style="41" customWidth="1"/>
    <col min="7167" max="7167" width="13.7265625" style="41" customWidth="1"/>
    <col min="7168" max="7171" width="11.7265625" style="41" customWidth="1"/>
    <col min="7172" max="7172" width="12.81640625" style="41" customWidth="1"/>
    <col min="7173" max="7173" width="11.7265625" style="41" customWidth="1"/>
    <col min="7174" max="7174" width="5.453125" style="41" customWidth="1"/>
    <col min="7175" max="7419" width="11.453125" style="41"/>
    <col min="7420" max="7420" width="8.7265625" style="41" customWidth="1"/>
    <col min="7421" max="7421" width="13.26953125" style="41" customWidth="1"/>
    <col min="7422" max="7422" width="12.26953125" style="41" customWidth="1"/>
    <col min="7423" max="7423" width="13.7265625" style="41" customWidth="1"/>
    <col min="7424" max="7427" width="11.7265625" style="41" customWidth="1"/>
    <col min="7428" max="7428" width="12.81640625" style="41" customWidth="1"/>
    <col min="7429" max="7429" width="11.7265625" style="41" customWidth="1"/>
    <col min="7430" max="7430" width="5.453125" style="41" customWidth="1"/>
    <col min="7431" max="7675" width="11.453125" style="41"/>
    <col min="7676" max="7676" width="8.7265625" style="41" customWidth="1"/>
    <col min="7677" max="7677" width="13.26953125" style="41" customWidth="1"/>
    <col min="7678" max="7678" width="12.26953125" style="41" customWidth="1"/>
    <col min="7679" max="7679" width="13.7265625" style="41" customWidth="1"/>
    <col min="7680" max="7683" width="11.7265625" style="41" customWidth="1"/>
    <col min="7684" max="7684" width="12.81640625" style="41" customWidth="1"/>
    <col min="7685" max="7685" width="11.7265625" style="41" customWidth="1"/>
    <col min="7686" max="7686" width="5.453125" style="41" customWidth="1"/>
    <col min="7687" max="7931" width="11.453125" style="41"/>
    <col min="7932" max="7932" width="8.7265625" style="41" customWidth="1"/>
    <col min="7933" max="7933" width="13.26953125" style="41" customWidth="1"/>
    <col min="7934" max="7934" width="12.26953125" style="41" customWidth="1"/>
    <col min="7935" max="7935" width="13.7265625" style="41" customWidth="1"/>
    <col min="7936" max="7939" width="11.7265625" style="41" customWidth="1"/>
    <col min="7940" max="7940" width="12.81640625" style="41" customWidth="1"/>
    <col min="7941" max="7941" width="11.7265625" style="41" customWidth="1"/>
    <col min="7942" max="7942" width="5.453125" style="41" customWidth="1"/>
    <col min="7943" max="8187" width="11.453125" style="41"/>
    <col min="8188" max="8188" width="8.7265625" style="41" customWidth="1"/>
    <col min="8189" max="8189" width="13.26953125" style="41" customWidth="1"/>
    <col min="8190" max="8190" width="12.26953125" style="41" customWidth="1"/>
    <col min="8191" max="8191" width="13.7265625" style="41" customWidth="1"/>
    <col min="8192" max="8195" width="11.7265625" style="41" customWidth="1"/>
    <col min="8196" max="8196" width="12.81640625" style="41" customWidth="1"/>
    <col min="8197" max="8197" width="11.7265625" style="41" customWidth="1"/>
    <col min="8198" max="8198" width="5.453125" style="41" customWidth="1"/>
    <col min="8199" max="8443" width="11.453125" style="41"/>
    <col min="8444" max="8444" width="8.7265625" style="41" customWidth="1"/>
    <col min="8445" max="8445" width="13.26953125" style="41" customWidth="1"/>
    <col min="8446" max="8446" width="12.26953125" style="41" customWidth="1"/>
    <col min="8447" max="8447" width="13.7265625" style="41" customWidth="1"/>
    <col min="8448" max="8451" width="11.7265625" style="41" customWidth="1"/>
    <col min="8452" max="8452" width="12.81640625" style="41" customWidth="1"/>
    <col min="8453" max="8453" width="11.7265625" style="41" customWidth="1"/>
    <col min="8454" max="8454" width="5.453125" style="41" customWidth="1"/>
    <col min="8455" max="8699" width="11.453125" style="41"/>
    <col min="8700" max="8700" width="8.7265625" style="41" customWidth="1"/>
    <col min="8701" max="8701" width="13.26953125" style="41" customWidth="1"/>
    <col min="8702" max="8702" width="12.26953125" style="41" customWidth="1"/>
    <col min="8703" max="8703" width="13.7265625" style="41" customWidth="1"/>
    <col min="8704" max="8707" width="11.7265625" style="41" customWidth="1"/>
    <col min="8708" max="8708" width="12.81640625" style="41" customWidth="1"/>
    <col min="8709" max="8709" width="11.7265625" style="41" customWidth="1"/>
    <col min="8710" max="8710" width="5.453125" style="41" customWidth="1"/>
    <col min="8711" max="8955" width="11.453125" style="41"/>
    <col min="8956" max="8956" width="8.7265625" style="41" customWidth="1"/>
    <col min="8957" max="8957" width="13.26953125" style="41" customWidth="1"/>
    <col min="8958" max="8958" width="12.26953125" style="41" customWidth="1"/>
    <col min="8959" max="8959" width="13.7265625" style="41" customWidth="1"/>
    <col min="8960" max="8963" width="11.7265625" style="41" customWidth="1"/>
    <col min="8964" max="8964" width="12.81640625" style="41" customWidth="1"/>
    <col min="8965" max="8965" width="11.7265625" style="41" customWidth="1"/>
    <col min="8966" max="8966" width="5.453125" style="41" customWidth="1"/>
    <col min="8967" max="9211" width="11.453125" style="41"/>
    <col min="9212" max="9212" width="8.7265625" style="41" customWidth="1"/>
    <col min="9213" max="9213" width="13.26953125" style="41" customWidth="1"/>
    <col min="9214" max="9214" width="12.26953125" style="41" customWidth="1"/>
    <col min="9215" max="9215" width="13.7265625" style="41" customWidth="1"/>
    <col min="9216" max="9219" width="11.7265625" style="41" customWidth="1"/>
    <col min="9220" max="9220" width="12.81640625" style="41" customWidth="1"/>
    <col min="9221" max="9221" width="11.7265625" style="41" customWidth="1"/>
    <col min="9222" max="9222" width="5.453125" style="41" customWidth="1"/>
    <col min="9223" max="9467" width="11.453125" style="41"/>
    <col min="9468" max="9468" width="8.7265625" style="41" customWidth="1"/>
    <col min="9469" max="9469" width="13.26953125" style="41" customWidth="1"/>
    <col min="9470" max="9470" width="12.26953125" style="41" customWidth="1"/>
    <col min="9471" max="9471" width="13.7265625" style="41" customWidth="1"/>
    <col min="9472" max="9475" width="11.7265625" style="41" customWidth="1"/>
    <col min="9476" max="9476" width="12.81640625" style="41" customWidth="1"/>
    <col min="9477" max="9477" width="11.7265625" style="41" customWidth="1"/>
    <col min="9478" max="9478" width="5.453125" style="41" customWidth="1"/>
    <col min="9479" max="9723" width="11.453125" style="41"/>
    <col min="9724" max="9724" width="8.7265625" style="41" customWidth="1"/>
    <col min="9725" max="9725" width="13.26953125" style="41" customWidth="1"/>
    <col min="9726" max="9726" width="12.26953125" style="41" customWidth="1"/>
    <col min="9727" max="9727" width="13.7265625" style="41" customWidth="1"/>
    <col min="9728" max="9731" width="11.7265625" style="41" customWidth="1"/>
    <col min="9732" max="9732" width="12.81640625" style="41" customWidth="1"/>
    <col min="9733" max="9733" width="11.7265625" style="41" customWidth="1"/>
    <col min="9734" max="9734" width="5.453125" style="41" customWidth="1"/>
    <col min="9735" max="9979" width="11.453125" style="41"/>
    <col min="9980" max="9980" width="8.7265625" style="41" customWidth="1"/>
    <col min="9981" max="9981" width="13.26953125" style="41" customWidth="1"/>
    <col min="9982" max="9982" width="12.26953125" style="41" customWidth="1"/>
    <col min="9983" max="9983" width="13.7265625" style="41" customWidth="1"/>
    <col min="9984" max="9987" width="11.7265625" style="41" customWidth="1"/>
    <col min="9988" max="9988" width="12.81640625" style="41" customWidth="1"/>
    <col min="9989" max="9989" width="11.7265625" style="41" customWidth="1"/>
    <col min="9990" max="9990" width="5.453125" style="41" customWidth="1"/>
    <col min="9991" max="10235" width="11.453125" style="41"/>
    <col min="10236" max="10236" width="8.7265625" style="41" customWidth="1"/>
    <col min="10237" max="10237" width="13.26953125" style="41" customWidth="1"/>
    <col min="10238" max="10238" width="12.26953125" style="41" customWidth="1"/>
    <col min="10239" max="10239" width="13.7265625" style="41" customWidth="1"/>
    <col min="10240" max="10243" width="11.7265625" style="41" customWidth="1"/>
    <col min="10244" max="10244" width="12.81640625" style="41" customWidth="1"/>
    <col min="10245" max="10245" width="11.7265625" style="41" customWidth="1"/>
    <col min="10246" max="10246" width="5.453125" style="41" customWidth="1"/>
    <col min="10247" max="10491" width="11.453125" style="41"/>
    <col min="10492" max="10492" width="8.7265625" style="41" customWidth="1"/>
    <col min="10493" max="10493" width="13.26953125" style="41" customWidth="1"/>
    <col min="10494" max="10494" width="12.26953125" style="41" customWidth="1"/>
    <col min="10495" max="10495" width="13.7265625" style="41" customWidth="1"/>
    <col min="10496" max="10499" width="11.7265625" style="41" customWidth="1"/>
    <col min="10500" max="10500" width="12.81640625" style="41" customWidth="1"/>
    <col min="10501" max="10501" width="11.7265625" style="41" customWidth="1"/>
    <col min="10502" max="10502" width="5.453125" style="41" customWidth="1"/>
    <col min="10503" max="10747" width="11.453125" style="41"/>
    <col min="10748" max="10748" width="8.7265625" style="41" customWidth="1"/>
    <col min="10749" max="10749" width="13.26953125" style="41" customWidth="1"/>
    <col min="10750" max="10750" width="12.26953125" style="41" customWidth="1"/>
    <col min="10751" max="10751" width="13.7265625" style="41" customWidth="1"/>
    <col min="10752" max="10755" width="11.7265625" style="41" customWidth="1"/>
    <col min="10756" max="10756" width="12.81640625" style="41" customWidth="1"/>
    <col min="10757" max="10757" width="11.7265625" style="41" customWidth="1"/>
    <col min="10758" max="10758" width="5.453125" style="41" customWidth="1"/>
    <col min="10759" max="11003" width="11.453125" style="41"/>
    <col min="11004" max="11004" width="8.7265625" style="41" customWidth="1"/>
    <col min="11005" max="11005" width="13.26953125" style="41" customWidth="1"/>
    <col min="11006" max="11006" width="12.26953125" style="41" customWidth="1"/>
    <col min="11007" max="11007" width="13.7265625" style="41" customWidth="1"/>
    <col min="11008" max="11011" width="11.7265625" style="41" customWidth="1"/>
    <col min="11012" max="11012" width="12.81640625" style="41" customWidth="1"/>
    <col min="11013" max="11013" width="11.7265625" style="41" customWidth="1"/>
    <col min="11014" max="11014" width="5.453125" style="41" customWidth="1"/>
    <col min="11015" max="11259" width="11.453125" style="41"/>
    <col min="11260" max="11260" width="8.7265625" style="41" customWidth="1"/>
    <col min="11261" max="11261" width="13.26953125" style="41" customWidth="1"/>
    <col min="11262" max="11262" width="12.26953125" style="41" customWidth="1"/>
    <col min="11263" max="11263" width="13.7265625" style="41" customWidth="1"/>
    <col min="11264" max="11267" width="11.7265625" style="41" customWidth="1"/>
    <col min="11268" max="11268" width="12.81640625" style="41" customWidth="1"/>
    <col min="11269" max="11269" width="11.7265625" style="41" customWidth="1"/>
    <col min="11270" max="11270" width="5.453125" style="41" customWidth="1"/>
    <col min="11271" max="11515" width="11.453125" style="41"/>
    <col min="11516" max="11516" width="8.7265625" style="41" customWidth="1"/>
    <col min="11517" max="11517" width="13.26953125" style="41" customWidth="1"/>
    <col min="11518" max="11518" width="12.26953125" style="41" customWidth="1"/>
    <col min="11519" max="11519" width="13.7265625" style="41" customWidth="1"/>
    <col min="11520" max="11523" width="11.7265625" style="41" customWidth="1"/>
    <col min="11524" max="11524" width="12.81640625" style="41" customWidth="1"/>
    <col min="11525" max="11525" width="11.7265625" style="41" customWidth="1"/>
    <col min="11526" max="11526" width="5.453125" style="41" customWidth="1"/>
    <col min="11527" max="11771" width="11.453125" style="41"/>
    <col min="11772" max="11772" width="8.7265625" style="41" customWidth="1"/>
    <col min="11773" max="11773" width="13.26953125" style="41" customWidth="1"/>
    <col min="11774" max="11774" width="12.26953125" style="41" customWidth="1"/>
    <col min="11775" max="11775" width="13.7265625" style="41" customWidth="1"/>
    <col min="11776" max="11779" width="11.7265625" style="41" customWidth="1"/>
    <col min="11780" max="11780" width="12.81640625" style="41" customWidth="1"/>
    <col min="11781" max="11781" width="11.7265625" style="41" customWidth="1"/>
    <col min="11782" max="11782" width="5.453125" style="41" customWidth="1"/>
    <col min="11783" max="12027" width="11.453125" style="41"/>
    <col min="12028" max="12028" width="8.7265625" style="41" customWidth="1"/>
    <col min="12029" max="12029" width="13.26953125" style="41" customWidth="1"/>
    <col min="12030" max="12030" width="12.26953125" style="41" customWidth="1"/>
    <col min="12031" max="12031" width="13.7265625" style="41" customWidth="1"/>
    <col min="12032" max="12035" width="11.7265625" style="41" customWidth="1"/>
    <col min="12036" max="12036" width="12.81640625" style="41" customWidth="1"/>
    <col min="12037" max="12037" width="11.7265625" style="41" customWidth="1"/>
    <col min="12038" max="12038" width="5.453125" style="41" customWidth="1"/>
    <col min="12039" max="12283" width="11.453125" style="41"/>
    <col min="12284" max="12284" width="8.7265625" style="41" customWidth="1"/>
    <col min="12285" max="12285" width="13.26953125" style="41" customWidth="1"/>
    <col min="12286" max="12286" width="12.26953125" style="41" customWidth="1"/>
    <col min="12287" max="12287" width="13.7265625" style="41" customWidth="1"/>
    <col min="12288" max="12291" width="11.7265625" style="41" customWidth="1"/>
    <col min="12292" max="12292" width="12.81640625" style="41" customWidth="1"/>
    <col min="12293" max="12293" width="11.7265625" style="41" customWidth="1"/>
    <col min="12294" max="12294" width="5.453125" style="41" customWidth="1"/>
    <col min="12295" max="12539" width="11.453125" style="41"/>
    <col min="12540" max="12540" width="8.7265625" style="41" customWidth="1"/>
    <col min="12541" max="12541" width="13.26953125" style="41" customWidth="1"/>
    <col min="12542" max="12542" width="12.26953125" style="41" customWidth="1"/>
    <col min="12543" max="12543" width="13.7265625" style="41" customWidth="1"/>
    <col min="12544" max="12547" width="11.7265625" style="41" customWidth="1"/>
    <col min="12548" max="12548" width="12.81640625" style="41" customWidth="1"/>
    <col min="12549" max="12549" width="11.7265625" style="41" customWidth="1"/>
    <col min="12550" max="12550" width="5.453125" style="41" customWidth="1"/>
    <col min="12551" max="12795" width="11.453125" style="41"/>
    <col min="12796" max="12796" width="8.7265625" style="41" customWidth="1"/>
    <col min="12797" max="12797" width="13.26953125" style="41" customWidth="1"/>
    <col min="12798" max="12798" width="12.26953125" style="41" customWidth="1"/>
    <col min="12799" max="12799" width="13.7265625" style="41" customWidth="1"/>
    <col min="12800" max="12803" width="11.7265625" style="41" customWidth="1"/>
    <col min="12804" max="12804" width="12.81640625" style="41" customWidth="1"/>
    <col min="12805" max="12805" width="11.7265625" style="41" customWidth="1"/>
    <col min="12806" max="12806" width="5.453125" style="41" customWidth="1"/>
    <col min="12807" max="13051" width="11.453125" style="41"/>
    <col min="13052" max="13052" width="8.7265625" style="41" customWidth="1"/>
    <col min="13053" max="13053" width="13.26953125" style="41" customWidth="1"/>
    <col min="13054" max="13054" width="12.26953125" style="41" customWidth="1"/>
    <col min="13055" max="13055" width="13.7265625" style="41" customWidth="1"/>
    <col min="13056" max="13059" width="11.7265625" style="41" customWidth="1"/>
    <col min="13060" max="13060" width="12.81640625" style="41" customWidth="1"/>
    <col min="13061" max="13061" width="11.7265625" style="41" customWidth="1"/>
    <col min="13062" max="13062" width="5.453125" style="41" customWidth="1"/>
    <col min="13063" max="13307" width="11.453125" style="41"/>
    <col min="13308" max="13308" width="8.7265625" style="41" customWidth="1"/>
    <col min="13309" max="13309" width="13.26953125" style="41" customWidth="1"/>
    <col min="13310" max="13310" width="12.26953125" style="41" customWidth="1"/>
    <col min="13311" max="13311" width="13.7265625" style="41" customWidth="1"/>
    <col min="13312" max="13315" width="11.7265625" style="41" customWidth="1"/>
    <col min="13316" max="13316" width="12.81640625" style="41" customWidth="1"/>
    <col min="13317" max="13317" width="11.7265625" style="41" customWidth="1"/>
    <col min="13318" max="13318" width="5.453125" style="41" customWidth="1"/>
    <col min="13319" max="13563" width="11.453125" style="41"/>
    <col min="13564" max="13564" width="8.7265625" style="41" customWidth="1"/>
    <col min="13565" max="13565" width="13.26953125" style="41" customWidth="1"/>
    <col min="13566" max="13566" width="12.26953125" style="41" customWidth="1"/>
    <col min="13567" max="13567" width="13.7265625" style="41" customWidth="1"/>
    <col min="13568" max="13571" width="11.7265625" style="41" customWidth="1"/>
    <col min="13572" max="13572" width="12.81640625" style="41" customWidth="1"/>
    <col min="13573" max="13573" width="11.7265625" style="41" customWidth="1"/>
    <col min="13574" max="13574" width="5.453125" style="41" customWidth="1"/>
    <col min="13575" max="13819" width="11.453125" style="41"/>
    <col min="13820" max="13820" width="8.7265625" style="41" customWidth="1"/>
    <col min="13821" max="13821" width="13.26953125" style="41" customWidth="1"/>
    <col min="13822" max="13822" width="12.26953125" style="41" customWidth="1"/>
    <col min="13823" max="13823" width="13.7265625" style="41" customWidth="1"/>
    <col min="13824" max="13827" width="11.7265625" style="41" customWidth="1"/>
    <col min="13828" max="13828" width="12.81640625" style="41" customWidth="1"/>
    <col min="13829" max="13829" width="11.7265625" style="41" customWidth="1"/>
    <col min="13830" max="13830" width="5.453125" style="41" customWidth="1"/>
    <col min="13831" max="14075" width="11.453125" style="41"/>
    <col min="14076" max="14076" width="8.7265625" style="41" customWidth="1"/>
    <col min="14077" max="14077" width="13.26953125" style="41" customWidth="1"/>
    <col min="14078" max="14078" width="12.26953125" style="41" customWidth="1"/>
    <col min="14079" max="14079" width="13.7265625" style="41" customWidth="1"/>
    <col min="14080" max="14083" width="11.7265625" style="41" customWidth="1"/>
    <col min="14084" max="14084" width="12.81640625" style="41" customWidth="1"/>
    <col min="14085" max="14085" width="11.7265625" style="41" customWidth="1"/>
    <col min="14086" max="14086" width="5.453125" style="41" customWidth="1"/>
    <col min="14087" max="14331" width="11.453125" style="41"/>
    <col min="14332" max="14332" width="8.7265625" style="41" customWidth="1"/>
    <col min="14333" max="14333" width="13.26953125" style="41" customWidth="1"/>
    <col min="14334" max="14334" width="12.26953125" style="41" customWidth="1"/>
    <col min="14335" max="14335" width="13.7265625" style="41" customWidth="1"/>
    <col min="14336" max="14339" width="11.7265625" style="41" customWidth="1"/>
    <col min="14340" max="14340" width="12.81640625" style="41" customWidth="1"/>
    <col min="14341" max="14341" width="11.7265625" style="41" customWidth="1"/>
    <col min="14342" max="14342" width="5.453125" style="41" customWidth="1"/>
    <col min="14343" max="14587" width="11.453125" style="41"/>
    <col min="14588" max="14588" width="8.7265625" style="41" customWidth="1"/>
    <col min="14589" max="14589" width="13.26953125" style="41" customWidth="1"/>
    <col min="14590" max="14590" width="12.26953125" style="41" customWidth="1"/>
    <col min="14591" max="14591" width="13.7265625" style="41" customWidth="1"/>
    <col min="14592" max="14595" width="11.7265625" style="41" customWidth="1"/>
    <col min="14596" max="14596" width="12.81640625" style="41" customWidth="1"/>
    <col min="14597" max="14597" width="11.7265625" style="41" customWidth="1"/>
    <col min="14598" max="14598" width="5.453125" style="41" customWidth="1"/>
    <col min="14599" max="14843" width="11.453125" style="41"/>
    <col min="14844" max="14844" width="8.7265625" style="41" customWidth="1"/>
    <col min="14845" max="14845" width="13.26953125" style="41" customWidth="1"/>
    <col min="14846" max="14846" width="12.26953125" style="41" customWidth="1"/>
    <col min="14847" max="14847" width="13.7265625" style="41" customWidth="1"/>
    <col min="14848" max="14851" width="11.7265625" style="41" customWidth="1"/>
    <col min="14852" max="14852" width="12.81640625" style="41" customWidth="1"/>
    <col min="14853" max="14853" width="11.7265625" style="41" customWidth="1"/>
    <col min="14854" max="14854" width="5.453125" style="41" customWidth="1"/>
    <col min="14855" max="15099" width="11.453125" style="41"/>
    <col min="15100" max="15100" width="8.7265625" style="41" customWidth="1"/>
    <col min="15101" max="15101" width="13.26953125" style="41" customWidth="1"/>
    <col min="15102" max="15102" width="12.26953125" style="41" customWidth="1"/>
    <col min="15103" max="15103" width="13.7265625" style="41" customWidth="1"/>
    <col min="15104" max="15107" width="11.7265625" style="41" customWidth="1"/>
    <col min="15108" max="15108" width="12.81640625" style="41" customWidth="1"/>
    <col min="15109" max="15109" width="11.7265625" style="41" customWidth="1"/>
    <col min="15110" max="15110" width="5.453125" style="41" customWidth="1"/>
    <col min="15111" max="15355" width="11.453125" style="41"/>
    <col min="15356" max="15356" width="8.7265625" style="41" customWidth="1"/>
    <col min="15357" max="15357" width="13.26953125" style="41" customWidth="1"/>
    <col min="15358" max="15358" width="12.26953125" style="41" customWidth="1"/>
    <col min="15359" max="15359" width="13.7265625" style="41" customWidth="1"/>
    <col min="15360" max="15363" width="11.7265625" style="41" customWidth="1"/>
    <col min="15364" max="15364" width="12.81640625" style="41" customWidth="1"/>
    <col min="15365" max="15365" width="11.7265625" style="41" customWidth="1"/>
    <col min="15366" max="15366" width="5.453125" style="41" customWidth="1"/>
    <col min="15367" max="15611" width="11.453125" style="41"/>
    <col min="15612" max="15612" width="8.7265625" style="41" customWidth="1"/>
    <col min="15613" max="15613" width="13.26953125" style="41" customWidth="1"/>
    <col min="15614" max="15614" width="12.26953125" style="41" customWidth="1"/>
    <col min="15615" max="15615" width="13.7265625" style="41" customWidth="1"/>
    <col min="15616" max="15619" width="11.7265625" style="41" customWidth="1"/>
    <col min="15620" max="15620" width="12.81640625" style="41" customWidth="1"/>
    <col min="15621" max="15621" width="11.7265625" style="41" customWidth="1"/>
    <col min="15622" max="15622" width="5.453125" style="41" customWidth="1"/>
    <col min="15623" max="15867" width="11.453125" style="41"/>
    <col min="15868" max="15868" width="8.7265625" style="41" customWidth="1"/>
    <col min="15869" max="15869" width="13.26953125" style="41" customWidth="1"/>
    <col min="15870" max="15870" width="12.26953125" style="41" customWidth="1"/>
    <col min="15871" max="15871" width="13.7265625" style="41" customWidth="1"/>
    <col min="15872" max="15875" width="11.7265625" style="41" customWidth="1"/>
    <col min="15876" max="15876" width="12.81640625" style="41" customWidth="1"/>
    <col min="15877" max="15877" width="11.7265625" style="41" customWidth="1"/>
    <col min="15878" max="15878" width="5.453125" style="41" customWidth="1"/>
    <col min="15879" max="16123" width="11.453125" style="41"/>
    <col min="16124" max="16124" width="8.7265625" style="41" customWidth="1"/>
    <col min="16125" max="16125" width="13.26953125" style="41" customWidth="1"/>
    <col min="16126" max="16126" width="12.26953125" style="41" customWidth="1"/>
    <col min="16127" max="16127" width="13.7265625" style="41" customWidth="1"/>
    <col min="16128" max="16131" width="11.7265625" style="41" customWidth="1"/>
    <col min="16132" max="16132" width="12.81640625" style="41" customWidth="1"/>
    <col min="16133" max="16133" width="11.7265625" style="41" customWidth="1"/>
    <col min="16134" max="16134" width="5.453125" style="41" customWidth="1"/>
    <col min="16135" max="16384" width="11.453125" style="41"/>
  </cols>
  <sheetData>
    <row r="1" spans="2:31" s="135" customFormat="1" ht="18.5" x14ac:dyDescent="0.45">
      <c r="B1" s="132"/>
      <c r="C1" s="133"/>
      <c r="D1" s="133"/>
      <c r="E1" s="133"/>
      <c r="F1" s="133"/>
      <c r="G1" s="133"/>
      <c r="H1" s="133"/>
      <c r="I1" s="133"/>
      <c r="J1" s="133"/>
      <c r="K1" s="36" t="s">
        <v>53</v>
      </c>
      <c r="L1" s="134" t="s">
        <v>92</v>
      </c>
      <c r="N1" s="132"/>
      <c r="O1" s="133"/>
      <c r="P1" s="133"/>
      <c r="Q1" s="133"/>
      <c r="R1" s="133"/>
      <c r="S1" s="133"/>
      <c r="T1" s="36"/>
      <c r="U1" s="36"/>
      <c r="V1" s="36" t="s">
        <v>53</v>
      </c>
      <c r="W1" s="138" t="str">
        <f>L1</f>
        <v>B</v>
      </c>
      <c r="Y1" s="132"/>
      <c r="Z1" s="133"/>
      <c r="AA1" s="133"/>
      <c r="AB1" s="133"/>
      <c r="AC1" s="133"/>
      <c r="AD1" s="36" t="s">
        <v>53</v>
      </c>
      <c r="AE1" s="134" t="str">
        <f>W1</f>
        <v>B</v>
      </c>
    </row>
    <row r="2" spans="2:31" s="135" customFormat="1" ht="18.5" x14ac:dyDescent="0.45">
      <c r="B2" s="42" t="s">
        <v>39</v>
      </c>
      <c r="C2" s="133"/>
      <c r="D2" s="133"/>
      <c r="E2" s="133"/>
      <c r="F2" s="133"/>
      <c r="G2" s="133"/>
      <c r="H2" s="133"/>
      <c r="I2" s="133"/>
      <c r="J2" s="133"/>
      <c r="K2" s="36" t="s">
        <v>54</v>
      </c>
      <c r="L2" s="136">
        <v>4</v>
      </c>
      <c r="N2" s="42" t="s">
        <v>39</v>
      </c>
      <c r="O2" s="133"/>
      <c r="P2" s="133"/>
      <c r="Q2" s="133"/>
      <c r="R2" s="133"/>
      <c r="S2" s="133"/>
      <c r="T2" s="36"/>
      <c r="U2" s="36"/>
      <c r="V2" s="36" t="s">
        <v>54</v>
      </c>
      <c r="W2" s="136">
        <v>5</v>
      </c>
      <c r="Y2" s="42" t="s">
        <v>39</v>
      </c>
      <c r="Z2" s="133"/>
      <c r="AA2" s="133"/>
      <c r="AB2" s="133"/>
      <c r="AC2" s="133"/>
      <c r="AD2" s="36" t="s">
        <v>54</v>
      </c>
      <c r="AE2" s="136">
        <v>6</v>
      </c>
    </row>
    <row r="3" spans="2:31" s="135" customFormat="1" ht="18.5" x14ac:dyDescent="0.45">
      <c r="B3" s="42" t="s">
        <v>137</v>
      </c>
      <c r="C3" s="137"/>
      <c r="D3" s="137"/>
      <c r="E3" s="137"/>
      <c r="F3" s="137"/>
      <c r="G3" s="137"/>
      <c r="H3" s="137"/>
      <c r="I3" s="137"/>
      <c r="J3" s="137"/>
      <c r="N3" s="42" t="s">
        <v>138</v>
      </c>
      <c r="O3" s="133"/>
      <c r="P3" s="133"/>
      <c r="Q3" s="133"/>
      <c r="R3" s="133"/>
      <c r="S3" s="133"/>
      <c r="T3" s="133"/>
      <c r="U3" s="133"/>
      <c r="V3" s="133"/>
      <c r="W3" s="139"/>
      <c r="Y3" s="42" t="s">
        <v>78</v>
      </c>
      <c r="Z3" s="133"/>
      <c r="AA3" s="133"/>
      <c r="AB3" s="133"/>
      <c r="AC3" s="133"/>
      <c r="AD3" s="133"/>
    </row>
    <row r="4" spans="2:31" s="135" customFormat="1" ht="18.5" x14ac:dyDescent="0.45">
      <c r="B4" s="42" t="s">
        <v>134</v>
      </c>
      <c r="C4" s="137"/>
      <c r="D4" s="137"/>
      <c r="E4" s="137"/>
      <c r="F4" s="137"/>
      <c r="G4" s="137"/>
      <c r="H4" s="137"/>
      <c r="I4" s="137"/>
      <c r="J4" s="137"/>
      <c r="N4" s="42" t="str">
        <f>B4</f>
        <v>Gross Basis</v>
      </c>
      <c r="O4" s="133"/>
      <c r="P4" s="133"/>
      <c r="Q4" s="133"/>
      <c r="R4" s="133"/>
      <c r="S4" s="133"/>
      <c r="T4" s="133"/>
      <c r="U4" s="133"/>
      <c r="V4" s="133"/>
      <c r="W4" s="139"/>
      <c r="Y4" s="42" t="str">
        <f>N4</f>
        <v>Gross Basis</v>
      </c>
      <c r="Z4" s="133"/>
      <c r="AA4" s="133"/>
      <c r="AB4" s="133"/>
      <c r="AC4" s="133"/>
      <c r="AD4" s="133"/>
    </row>
    <row r="5" spans="2:31" s="135" customFormat="1" ht="18.5" x14ac:dyDescent="0.45">
      <c r="B5" s="42" t="s">
        <v>55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N5" s="42" t="s">
        <v>55</v>
      </c>
      <c r="O5" s="133"/>
      <c r="P5" s="133"/>
      <c r="Q5" s="133"/>
      <c r="R5" s="133"/>
      <c r="S5" s="133"/>
      <c r="T5" s="133"/>
      <c r="U5" s="133"/>
      <c r="V5" s="133"/>
      <c r="Y5" s="42" t="s">
        <v>55</v>
      </c>
      <c r="Z5" s="133"/>
      <c r="AA5" s="133"/>
      <c r="AB5" s="133"/>
      <c r="AC5" s="133"/>
      <c r="AD5" s="133"/>
    </row>
    <row r="6" spans="2:31" ht="18.5" x14ac:dyDescent="0.45">
      <c r="J6" s="41"/>
      <c r="K6" s="41"/>
      <c r="N6" s="73"/>
      <c r="AB6" s="133"/>
      <c r="AC6" s="181"/>
      <c r="AD6" s="181"/>
      <c r="AE6" s="182"/>
    </row>
    <row r="7" spans="2:31" x14ac:dyDescent="0.35">
      <c r="N7" s="43"/>
    </row>
    <row r="9" spans="2:31" x14ac:dyDescent="0.35">
      <c r="Y9" s="114"/>
      <c r="Z9" s="115"/>
      <c r="AA9" s="113" t="s">
        <v>1</v>
      </c>
      <c r="AB9" s="113" t="s">
        <v>1</v>
      </c>
      <c r="AC9" s="116" t="s">
        <v>1</v>
      </c>
      <c r="AD9" s="116" t="s">
        <v>1</v>
      </c>
    </row>
    <row r="10" spans="2:31" x14ac:dyDescent="0.35">
      <c r="B10" s="47" t="s">
        <v>1</v>
      </c>
      <c r="C10" s="149" t="s">
        <v>62</v>
      </c>
      <c r="D10" s="149" t="s">
        <v>63</v>
      </c>
      <c r="E10" s="149" t="s">
        <v>64</v>
      </c>
      <c r="F10" s="149" t="s">
        <v>56</v>
      </c>
      <c r="G10" s="149" t="s">
        <v>57</v>
      </c>
      <c r="H10" s="149" t="s">
        <v>58</v>
      </c>
      <c r="I10" s="149" t="s">
        <v>59</v>
      </c>
      <c r="J10" s="149" t="s">
        <v>60</v>
      </c>
      <c r="K10" s="149" t="s">
        <v>61</v>
      </c>
      <c r="N10" s="149" t="s">
        <v>62</v>
      </c>
      <c r="O10" s="179">
        <f>N10-1</f>
        <v>-2</v>
      </c>
      <c r="P10" s="179">
        <f t="shared" ref="P10:V10" si="0">O10-1</f>
        <v>-3</v>
      </c>
      <c r="Q10" s="179">
        <f t="shared" si="0"/>
        <v>-4</v>
      </c>
      <c r="R10" s="179">
        <f t="shared" si="0"/>
        <v>-5</v>
      </c>
      <c r="S10" s="179">
        <f t="shared" si="0"/>
        <v>-6</v>
      </c>
      <c r="T10" s="179">
        <f t="shared" si="0"/>
        <v>-7</v>
      </c>
      <c r="U10" s="179">
        <f t="shared" si="0"/>
        <v>-8</v>
      </c>
      <c r="V10" s="179">
        <f t="shared" si="0"/>
        <v>-9</v>
      </c>
      <c r="Y10" s="117" t="s">
        <v>1</v>
      </c>
      <c r="Z10" s="149" t="s">
        <v>62</v>
      </c>
      <c r="AA10" s="149" t="s">
        <v>63</v>
      </c>
      <c r="AB10" s="149" t="s">
        <v>64</v>
      </c>
      <c r="AC10" s="149" t="s">
        <v>56</v>
      </c>
      <c r="AD10" s="149" t="s">
        <v>57</v>
      </c>
    </row>
    <row r="11" spans="2:31" s="145" customFormat="1" ht="75" customHeight="1" x14ac:dyDescent="0.35">
      <c r="B11" s="141" t="s">
        <v>124</v>
      </c>
      <c r="C11" s="141" t="s">
        <v>93</v>
      </c>
      <c r="D11" s="141" t="s">
        <v>65</v>
      </c>
      <c r="E11" s="141" t="s">
        <v>94</v>
      </c>
      <c r="F11" s="142" t="s">
        <v>97</v>
      </c>
      <c r="G11" s="141" t="s">
        <v>95</v>
      </c>
      <c r="H11" s="143" t="s">
        <v>249</v>
      </c>
      <c r="I11" s="143" t="s">
        <v>96</v>
      </c>
      <c r="J11" s="143" t="s">
        <v>250</v>
      </c>
      <c r="K11" s="143" t="s">
        <v>251</v>
      </c>
      <c r="L11" s="146"/>
      <c r="N11" s="144" t="s">
        <v>75</v>
      </c>
      <c r="O11" s="144" t="s">
        <v>76</v>
      </c>
      <c r="P11" s="144" t="s">
        <v>119</v>
      </c>
      <c r="Q11" s="144" t="s">
        <v>130</v>
      </c>
      <c r="R11" s="144" t="s">
        <v>170</v>
      </c>
      <c r="S11" s="141" t="s">
        <v>169</v>
      </c>
      <c r="T11" s="144" t="s">
        <v>171</v>
      </c>
      <c r="U11" s="144" t="s">
        <v>172</v>
      </c>
      <c r="V11" s="141" t="s">
        <v>173</v>
      </c>
      <c r="Y11" s="141" t="s">
        <v>123</v>
      </c>
      <c r="Z11" s="147" t="s">
        <v>98</v>
      </c>
      <c r="AA11" s="142" t="s">
        <v>99</v>
      </c>
      <c r="AB11" s="147" t="s">
        <v>100</v>
      </c>
      <c r="AC11" s="143" t="s">
        <v>101</v>
      </c>
      <c r="AD11" s="143" t="s">
        <v>157</v>
      </c>
      <c r="AE11" s="148"/>
    </row>
    <row r="12" spans="2:31" s="145" customFormat="1" x14ac:dyDescent="0.35">
      <c r="B12" s="160"/>
      <c r="C12" s="160"/>
      <c r="D12" s="160"/>
      <c r="E12" s="160"/>
      <c r="F12" s="161"/>
      <c r="G12" s="160"/>
      <c r="H12" s="162"/>
      <c r="I12" s="162"/>
      <c r="J12" s="162"/>
      <c r="K12" s="162"/>
      <c r="L12" s="146"/>
      <c r="N12" s="163"/>
      <c r="O12" s="163"/>
      <c r="P12" s="163"/>
      <c r="Q12" s="163"/>
      <c r="R12" s="163"/>
      <c r="S12" s="160"/>
      <c r="T12" s="163"/>
      <c r="U12" s="163"/>
      <c r="V12" s="160"/>
      <c r="Y12" s="160"/>
      <c r="Z12" s="164"/>
      <c r="AA12" s="161"/>
      <c r="AB12" s="164"/>
      <c r="AC12" s="162"/>
      <c r="AD12" s="162"/>
      <c r="AE12" s="148"/>
    </row>
    <row r="13" spans="2:31" s="145" customFormat="1" x14ac:dyDescent="0.35">
      <c r="B13" s="44" t="s">
        <v>11</v>
      </c>
      <c r="C13" s="160"/>
      <c r="D13" s="160"/>
      <c r="E13" s="160"/>
      <c r="F13" s="161"/>
      <c r="G13" s="160"/>
      <c r="H13" s="162"/>
      <c r="I13" s="162"/>
      <c r="J13" s="162"/>
      <c r="K13" s="162"/>
      <c r="L13" s="146"/>
      <c r="N13" s="44" t="s">
        <v>11</v>
      </c>
      <c r="O13" s="163"/>
      <c r="P13" s="163"/>
      <c r="Q13" s="163"/>
      <c r="R13" s="163"/>
      <c r="S13" s="160"/>
      <c r="T13" s="163"/>
      <c r="U13" s="163"/>
      <c r="V13" s="160"/>
      <c r="Y13" s="44" t="s">
        <v>91</v>
      </c>
      <c r="Z13" s="164"/>
      <c r="AA13" s="161"/>
      <c r="AB13" s="164"/>
      <c r="AC13" s="162"/>
      <c r="AD13" s="162"/>
      <c r="AE13" s="148"/>
    </row>
    <row r="14" spans="2:31" s="145" customFormat="1" x14ac:dyDescent="0.35">
      <c r="B14" s="160"/>
      <c r="C14" s="160"/>
      <c r="D14" s="160"/>
      <c r="E14" s="160"/>
      <c r="F14" s="161"/>
      <c r="G14" s="160"/>
      <c r="H14" s="162"/>
      <c r="I14" s="162"/>
      <c r="J14" s="162"/>
      <c r="K14" s="162"/>
      <c r="L14" s="146"/>
      <c r="N14" s="163"/>
      <c r="O14" s="163"/>
      <c r="P14" s="163"/>
      <c r="Q14" s="163"/>
      <c r="R14" s="163"/>
      <c r="S14" s="160"/>
      <c r="T14" s="163"/>
      <c r="U14" s="163"/>
      <c r="V14" s="160"/>
      <c r="Y14" s="160"/>
      <c r="Z14" s="164"/>
      <c r="AA14" s="161"/>
      <c r="AB14" s="164"/>
      <c r="AC14" s="162"/>
      <c r="AD14" s="162"/>
      <c r="AE14" s="148"/>
    </row>
    <row r="15" spans="2:31" x14ac:dyDescent="0.35">
      <c r="B15" s="48" t="s">
        <v>66</v>
      </c>
      <c r="C15" s="49">
        <f>4.5*3178000</f>
        <v>14301000</v>
      </c>
      <c r="D15" s="49">
        <f>4.5*50000</f>
        <v>225000</v>
      </c>
      <c r="E15" s="50">
        <f>SUM(C15:D15)</f>
        <v>14526000</v>
      </c>
      <c r="F15" s="154">
        <f t="shared" ref="F15:F18" si="1">(1.04)^(1/3+19.5-ROW())</f>
        <v>1.2087258402970242</v>
      </c>
      <c r="G15" s="51">
        <f>E15*F15</f>
        <v>17557951.556154575</v>
      </c>
      <c r="H15" s="51">
        <f>4.5*4100000</f>
        <v>18450000</v>
      </c>
      <c r="I15" s="157">
        <f>1.04*I16</f>
        <v>1.1924640000000002</v>
      </c>
      <c r="J15" s="51">
        <f>H15*I15</f>
        <v>22000960.800000004</v>
      </c>
      <c r="K15" s="53">
        <f t="shared" ref="K15:K20" si="2">G15/J15</f>
        <v>0.79805385390962436</v>
      </c>
      <c r="N15" s="48">
        <v>12</v>
      </c>
      <c r="O15" s="76">
        <v>0.5</v>
      </c>
      <c r="P15" s="77">
        <v>0.85</v>
      </c>
      <c r="Q15" s="77">
        <f>P15</f>
        <v>0.85</v>
      </c>
      <c r="R15" s="74">
        <v>3.5000000000000003E-2</v>
      </c>
      <c r="S15" s="168">
        <f>Q15*((1+$R$15)^-O15)</f>
        <v>0.83550441821108368</v>
      </c>
      <c r="T15" s="74">
        <f>0.0075</f>
        <v>7.4999999999999997E-3</v>
      </c>
      <c r="U15" s="74">
        <f>R15-T15</f>
        <v>2.7500000000000004E-2</v>
      </c>
      <c r="V15" s="168">
        <f>Q15*((1+U$15)^-O15)</f>
        <v>0.83854816023388312</v>
      </c>
      <c r="Y15" s="118" t="s">
        <v>66</v>
      </c>
      <c r="Z15" s="119">
        <f>0.5*48740989.5</f>
        <v>24370494.75</v>
      </c>
      <c r="AA15" s="154">
        <f t="shared" ref="AA15:AA18" si="3">(1.03)^(1/3+19.5-ROW())</f>
        <v>1.1535769935449969</v>
      </c>
      <c r="AB15" s="120">
        <f>Z15*AA15</f>
        <v>28113242.06490913</v>
      </c>
      <c r="AC15" s="120">
        <v>200347839.4457275</v>
      </c>
      <c r="AD15" s="121">
        <f t="shared" ref="AD15:AD20" si="4">AB15/AC15</f>
        <v>0.14032216240856826</v>
      </c>
    </row>
    <row r="16" spans="2:31" x14ac:dyDescent="0.35">
      <c r="B16" s="48" t="s">
        <v>67</v>
      </c>
      <c r="C16" s="49">
        <f>4.5*4076000</f>
        <v>18342000</v>
      </c>
      <c r="D16" s="49">
        <f>4.5*100000</f>
        <v>450000</v>
      </c>
      <c r="E16" s="50">
        <f>SUM(C16:D16)</f>
        <v>18792000</v>
      </c>
      <c r="F16" s="154">
        <f t="shared" si="1"/>
        <v>1.1622363849009847</v>
      </c>
      <c r="G16" s="51">
        <f>E16*F16</f>
        <v>21840746.145059302</v>
      </c>
      <c r="H16" s="51">
        <f>H15*1.02</f>
        <v>18819000</v>
      </c>
      <c r="I16" s="157">
        <f>1.04*I17</f>
        <v>1.1466000000000001</v>
      </c>
      <c r="J16" s="51">
        <f>H16*I16</f>
        <v>21577865.400000002</v>
      </c>
      <c r="K16" s="53">
        <f t="shared" si="2"/>
        <v>1.0121828892796458</v>
      </c>
      <c r="N16" s="48">
        <f t="shared" ref="N16:N22" si="5">N15+12</f>
        <v>24</v>
      </c>
      <c r="O16" s="76">
        <f t="shared" ref="O16:O22" si="6">O15+1</f>
        <v>1.5</v>
      </c>
      <c r="P16" s="77">
        <v>0.99</v>
      </c>
      <c r="Q16" s="77">
        <f t="shared" ref="Q16:Q22" si="7">P16-P15</f>
        <v>0.14000000000000001</v>
      </c>
      <c r="R16" s="77"/>
      <c r="S16" s="168">
        <f t="shared" ref="S16:S22" si="8">Q16*((1+$R$15)^-O16)</f>
        <v>0.1329589298659298</v>
      </c>
      <c r="T16" s="77"/>
      <c r="U16" s="77"/>
      <c r="V16" s="168">
        <f t="shared" ref="V16:V22" si="9">Q16*((1+U$15)^-O16)</f>
        <v>0.13441733783626009</v>
      </c>
      <c r="Y16" s="118" t="s">
        <v>67</v>
      </c>
      <c r="Z16" s="119">
        <f>0.5*48802004</f>
        <v>24401002</v>
      </c>
      <c r="AA16" s="154">
        <f t="shared" si="3"/>
        <v>1.1199776636359191</v>
      </c>
      <c r="AB16" s="120">
        <f>Z16*AA16</f>
        <v>27328577.210335389</v>
      </c>
      <c r="AC16" s="120">
        <v>212839863.833718</v>
      </c>
      <c r="AD16" s="121">
        <f t="shared" si="4"/>
        <v>0.128399711962257</v>
      </c>
    </row>
    <row r="17" spans="2:31" x14ac:dyDescent="0.35">
      <c r="B17" s="48" t="s">
        <v>68</v>
      </c>
      <c r="C17" s="49">
        <f>4.5*3762000</f>
        <v>16929000</v>
      </c>
      <c r="D17" s="49">
        <f>4.5*125000</f>
        <v>562500</v>
      </c>
      <c r="E17" s="50">
        <f>SUM(C17:D17)</f>
        <v>17491500</v>
      </c>
      <c r="F17" s="154">
        <f t="shared" si="1"/>
        <v>1.117534985481716</v>
      </c>
      <c r="G17" s="51">
        <f>E17*F17</f>
        <v>19547363.198553436</v>
      </c>
      <c r="H17" s="51">
        <f>H16*1.02</f>
        <v>19195380</v>
      </c>
      <c r="I17" s="157">
        <f>1.05*I18</f>
        <v>1.1025</v>
      </c>
      <c r="J17" s="51">
        <f>H17*I17</f>
        <v>21162906.449999999</v>
      </c>
      <c r="K17" s="53">
        <f t="shared" si="2"/>
        <v>0.9236615606054166</v>
      </c>
      <c r="N17" s="48">
        <f t="shared" si="5"/>
        <v>36</v>
      </c>
      <c r="O17" s="76">
        <f t="shared" si="6"/>
        <v>2.5</v>
      </c>
      <c r="P17" s="77">
        <v>1</v>
      </c>
      <c r="Q17" s="77">
        <f t="shared" si="7"/>
        <v>1.0000000000000009E-2</v>
      </c>
      <c r="R17" s="77"/>
      <c r="S17" s="168">
        <f t="shared" si="8"/>
        <v>9.1759095835700442E-3</v>
      </c>
      <c r="T17" s="77"/>
      <c r="U17" s="77"/>
      <c r="V17" s="168">
        <f t="shared" si="9"/>
        <v>9.3442709653291742E-3</v>
      </c>
      <c r="Y17" s="118" t="s">
        <v>68</v>
      </c>
      <c r="Z17" s="119">
        <f>0.5*51562665.25</f>
        <v>25781332.625</v>
      </c>
      <c r="AA17" s="154">
        <f t="shared" si="3"/>
        <v>1.0873569549863293</v>
      </c>
      <c r="AB17" s="120">
        <f>Z17*AA17</f>
        <v>28033511.33860971</v>
      </c>
      <c r="AC17" s="120">
        <v>220532727.020785</v>
      </c>
      <c r="AD17" s="121">
        <f t="shared" si="4"/>
        <v>0.12711723886662671</v>
      </c>
    </row>
    <row r="18" spans="2:31" x14ac:dyDescent="0.35">
      <c r="B18" s="48" t="s">
        <v>69</v>
      </c>
      <c r="C18" s="49">
        <f>4.5*2970000</f>
        <v>13365000</v>
      </c>
      <c r="D18" s="49">
        <f>4.5*150000</f>
        <v>675000</v>
      </c>
      <c r="E18" s="50">
        <f>SUM(C18:D18)</f>
        <v>14040000</v>
      </c>
      <c r="F18" s="154">
        <f t="shared" si="1"/>
        <v>1.0745528706554961</v>
      </c>
      <c r="G18" s="51">
        <f>E18*F18</f>
        <v>15086722.304003166</v>
      </c>
      <c r="H18" s="51">
        <f>H17*1.02</f>
        <v>19579287.600000001</v>
      </c>
      <c r="I18" s="157">
        <v>1.05</v>
      </c>
      <c r="J18" s="51">
        <f>H18*I18</f>
        <v>20558251.980000004</v>
      </c>
      <c r="K18" s="53">
        <f t="shared" si="2"/>
        <v>0.73385238777500206</v>
      </c>
      <c r="N18" s="78">
        <f t="shared" si="5"/>
        <v>48</v>
      </c>
      <c r="O18" s="79">
        <f t="shared" si="6"/>
        <v>3.5</v>
      </c>
      <c r="P18" s="77">
        <v>1</v>
      </c>
      <c r="Q18" s="77">
        <f t="shared" si="7"/>
        <v>0</v>
      </c>
      <c r="R18" s="77"/>
      <c r="S18" s="168">
        <f t="shared" si="8"/>
        <v>0</v>
      </c>
      <c r="T18" s="77"/>
      <c r="U18" s="77"/>
      <c r="V18" s="168">
        <f t="shared" si="9"/>
        <v>0</v>
      </c>
      <c r="Y18" s="118" t="s">
        <v>69</v>
      </c>
      <c r="Z18" s="119">
        <f>0.5*52918798.75</f>
        <v>26459399.375</v>
      </c>
      <c r="AA18" s="154">
        <f t="shared" si="3"/>
        <v>1.0556863640643974</v>
      </c>
      <c r="AB18" s="120">
        <f>Z18*AA18</f>
        <v>27932827.12152154</v>
      </c>
      <c r="AC18" s="120">
        <v>229204334.96535799</v>
      </c>
      <c r="AD18" s="121">
        <f t="shared" si="4"/>
        <v>0.12186866852122721</v>
      </c>
      <c r="AE18" s="83"/>
    </row>
    <row r="19" spans="2:31" x14ac:dyDescent="0.35">
      <c r="B19" s="48" t="s">
        <v>70</v>
      </c>
      <c r="C19" s="49">
        <f>4.5*4216000</f>
        <v>18972000</v>
      </c>
      <c r="D19" s="49">
        <f>4.5*350000</f>
        <v>1575000</v>
      </c>
      <c r="E19" s="50">
        <f>SUM(C19:D19)</f>
        <v>20547000</v>
      </c>
      <c r="F19" s="158">
        <f>(1.04)^(1/3+19.5-ROW())</f>
        <v>1.0332239140918231</v>
      </c>
      <c r="G19" s="51">
        <f>E19*F19</f>
        <v>21229651.762844689</v>
      </c>
      <c r="H19" s="51">
        <f>H18*1.02</f>
        <v>19970873.352000002</v>
      </c>
      <c r="I19" s="157">
        <v>1.01</v>
      </c>
      <c r="J19" s="51">
        <f>H19*I19</f>
        <v>20170582.085520003</v>
      </c>
      <c r="K19" s="53">
        <f t="shared" si="2"/>
        <v>1.052505657637167</v>
      </c>
      <c r="N19" s="78">
        <f t="shared" si="5"/>
        <v>60</v>
      </c>
      <c r="O19" s="78">
        <f t="shared" si="6"/>
        <v>4.5</v>
      </c>
      <c r="P19" s="80">
        <v>1</v>
      </c>
      <c r="Q19" s="77">
        <f t="shared" si="7"/>
        <v>0</v>
      </c>
      <c r="R19" s="77"/>
      <c r="S19" s="168">
        <f t="shared" si="8"/>
        <v>0</v>
      </c>
      <c r="T19" s="77"/>
      <c r="U19" s="77"/>
      <c r="V19" s="168">
        <f t="shared" si="9"/>
        <v>0</v>
      </c>
      <c r="Y19" s="118" t="s">
        <v>70</v>
      </c>
      <c r="Z19" s="119">
        <f>0.5*42093879.25</f>
        <v>21046939.625</v>
      </c>
      <c r="AA19" s="154">
        <f>(1.03)^(1/3+19.5-ROW())</f>
        <v>1.0249382175382498</v>
      </c>
      <c r="AB19" s="120">
        <f>Z19*AA19</f>
        <v>21571812.783882659</v>
      </c>
      <c r="AC19" s="120">
        <v>231235738.01385701</v>
      </c>
      <c r="AD19" s="121">
        <f t="shared" si="4"/>
        <v>9.3289268212467871E-2</v>
      </c>
      <c r="AE19" s="83"/>
    </row>
    <row r="20" spans="2:31" x14ac:dyDescent="0.35">
      <c r="B20" s="54" t="s">
        <v>0</v>
      </c>
      <c r="C20" s="55">
        <f>SUM(C15:C19)</f>
        <v>81909000</v>
      </c>
      <c r="D20" s="55">
        <f>SUM(D15:D19)</f>
        <v>3487500</v>
      </c>
      <c r="E20" s="55">
        <f>SUM(E15:E19)</f>
        <v>85396500</v>
      </c>
      <c r="F20" s="56"/>
      <c r="G20" s="55">
        <f>SUM(G15:G19)</f>
        <v>95262434.96661517</v>
      </c>
      <c r="H20" s="55">
        <f>SUM(H15:H19)</f>
        <v>96014540.951999992</v>
      </c>
      <c r="I20" s="55"/>
      <c r="J20" s="55">
        <f>SUM(J15:J19)</f>
        <v>105470566.71552001</v>
      </c>
      <c r="K20" s="57">
        <f t="shared" si="2"/>
        <v>0.90321345502543215</v>
      </c>
      <c r="N20" s="78">
        <f t="shared" si="5"/>
        <v>72</v>
      </c>
      <c r="O20" s="78">
        <f t="shared" si="6"/>
        <v>5.5</v>
      </c>
      <c r="P20" s="80">
        <v>1</v>
      </c>
      <c r="Q20" s="77">
        <f t="shared" si="7"/>
        <v>0</v>
      </c>
      <c r="R20" s="77"/>
      <c r="S20" s="168">
        <f t="shared" si="8"/>
        <v>0</v>
      </c>
      <c r="T20" s="77"/>
      <c r="U20" s="77"/>
      <c r="V20" s="168">
        <f t="shared" si="9"/>
        <v>0</v>
      </c>
      <c r="Y20" s="122" t="s">
        <v>0</v>
      </c>
      <c r="Z20" s="123">
        <f>SUM(Z15:Z19)</f>
        <v>122059168.375</v>
      </c>
      <c r="AA20" s="124"/>
      <c r="AB20" s="123">
        <f>SUM(AB15:AB19)</f>
        <v>132979970.51925842</v>
      </c>
      <c r="AC20" s="123">
        <f>SUM(AC15:AC19)</f>
        <v>1094160503.2794456</v>
      </c>
      <c r="AD20" s="125">
        <f t="shared" si="4"/>
        <v>0.12153607274315557</v>
      </c>
      <c r="AE20" s="83"/>
    </row>
    <row r="21" spans="2:31" x14ac:dyDescent="0.35">
      <c r="C21" s="58"/>
      <c r="D21" s="58"/>
      <c r="E21" s="58"/>
      <c r="F21" s="58"/>
      <c r="G21" s="58"/>
      <c r="H21" s="58"/>
      <c r="I21" s="58"/>
      <c r="J21" s="58"/>
      <c r="K21" s="59"/>
      <c r="N21" s="78">
        <f t="shared" si="5"/>
        <v>84</v>
      </c>
      <c r="O21" s="78">
        <f t="shared" si="6"/>
        <v>6.5</v>
      </c>
      <c r="P21" s="80">
        <v>1</v>
      </c>
      <c r="Q21" s="77">
        <f t="shared" si="7"/>
        <v>0</v>
      </c>
      <c r="R21" s="77"/>
      <c r="S21" s="168">
        <f t="shared" si="8"/>
        <v>0</v>
      </c>
      <c r="T21" s="77"/>
      <c r="U21" s="77"/>
      <c r="V21" s="168">
        <f t="shared" si="9"/>
        <v>0</v>
      </c>
      <c r="AE21" s="83"/>
    </row>
    <row r="22" spans="2:31" x14ac:dyDescent="0.35">
      <c r="C22" s="46"/>
      <c r="D22" s="46"/>
      <c r="E22" s="46"/>
      <c r="F22" s="46"/>
      <c r="J22" s="183" t="s">
        <v>229</v>
      </c>
      <c r="K22" s="66">
        <f>SUM(G17:G19)/SUM(J17:J19)</f>
        <v>0.90260407608658</v>
      </c>
      <c r="L22" s="41"/>
      <c r="N22" s="78">
        <f t="shared" si="5"/>
        <v>96</v>
      </c>
      <c r="O22" s="78">
        <f t="shared" si="6"/>
        <v>7.5</v>
      </c>
      <c r="P22" s="80">
        <v>1</v>
      </c>
      <c r="Q22" s="77">
        <f t="shared" si="7"/>
        <v>0</v>
      </c>
      <c r="R22" s="77"/>
      <c r="S22" s="168">
        <f t="shared" si="8"/>
        <v>0</v>
      </c>
      <c r="T22" s="77"/>
      <c r="U22" s="77"/>
      <c r="V22" s="168">
        <f t="shared" si="9"/>
        <v>0</v>
      </c>
      <c r="AC22" s="113" t="s">
        <v>228</v>
      </c>
      <c r="AD22" s="127">
        <f>SUM(AB18:AB19)/SUM(AC18:AC19)</f>
        <v>0.1075159240269665</v>
      </c>
      <c r="AE22" s="83"/>
    </row>
    <row r="23" spans="2:31" x14ac:dyDescent="0.35">
      <c r="C23" s="45"/>
      <c r="D23" s="45"/>
      <c r="E23" s="61"/>
      <c r="F23" s="61"/>
      <c r="L23" s="41"/>
      <c r="S23" s="167"/>
      <c r="T23" s="153"/>
      <c r="U23" s="153"/>
      <c r="V23" s="167"/>
      <c r="AE23" s="83"/>
    </row>
    <row r="24" spans="2:31" x14ac:dyDescent="0.35">
      <c r="B24" s="41"/>
      <c r="C24" s="41"/>
      <c r="D24" s="41"/>
      <c r="E24" s="61"/>
      <c r="F24" s="61"/>
      <c r="G24" s="61"/>
      <c r="H24" s="61"/>
      <c r="I24" s="61"/>
      <c r="J24" s="61" t="s">
        <v>126</v>
      </c>
      <c r="K24" s="71">
        <v>0.75</v>
      </c>
      <c r="L24" s="60" t="s">
        <v>1</v>
      </c>
      <c r="M24" s="63" t="s">
        <v>1</v>
      </c>
      <c r="R24" s="45" t="s">
        <v>194</v>
      </c>
      <c r="S24" s="167">
        <f>SUM(S15:S22)</f>
        <v>0.97763925766058357</v>
      </c>
      <c r="T24" s="153"/>
      <c r="U24" s="153"/>
      <c r="V24" s="167">
        <f>SUM(V15:V22)</f>
        <v>0.9823097690354724</v>
      </c>
      <c r="AC24" s="113" t="s">
        <v>177</v>
      </c>
      <c r="AD24" s="126">
        <v>0.12</v>
      </c>
      <c r="AE24" s="83"/>
    </row>
    <row r="25" spans="2:31" x14ac:dyDescent="0.35">
      <c r="B25" s="41"/>
      <c r="C25" s="41"/>
      <c r="D25" s="41"/>
      <c r="E25" s="61"/>
      <c r="F25" s="61"/>
      <c r="G25" s="61"/>
      <c r="M25" s="63" t="s">
        <v>1</v>
      </c>
      <c r="Q25" s="9"/>
      <c r="S25" s="167"/>
      <c r="V25" s="167"/>
      <c r="AE25" s="83"/>
    </row>
    <row r="26" spans="2:31" x14ac:dyDescent="0.35">
      <c r="B26" s="41"/>
      <c r="C26" s="41"/>
      <c r="D26" s="41"/>
      <c r="E26" s="61"/>
      <c r="F26" s="61"/>
      <c r="G26" s="61"/>
      <c r="J26" s="45" t="s">
        <v>110</v>
      </c>
      <c r="K26" s="62">
        <v>0.89473684210526316</v>
      </c>
      <c r="L26" s="60" t="s">
        <v>1</v>
      </c>
      <c r="M26" s="63" t="s">
        <v>1</v>
      </c>
      <c r="N26" s="9"/>
      <c r="O26" s="9"/>
      <c r="P26" s="9"/>
      <c r="Q26" s="9"/>
      <c r="R26" s="45" t="s">
        <v>195</v>
      </c>
      <c r="S26" s="167">
        <f>$O$15</f>
        <v>0.5</v>
      </c>
      <c r="T26" s="153"/>
      <c r="U26" s="153"/>
      <c r="V26" s="167">
        <f>$O$15</f>
        <v>0.5</v>
      </c>
      <c r="W26" s="81"/>
      <c r="AC26" s="113" t="s">
        <v>102</v>
      </c>
      <c r="AD26" s="126">
        <f>AD24</f>
        <v>0.12</v>
      </c>
    </row>
    <row r="27" spans="2:31" x14ac:dyDescent="0.35">
      <c r="B27" s="41"/>
      <c r="C27" s="41"/>
      <c r="D27" s="41"/>
      <c r="E27" s="61"/>
      <c r="F27" s="61"/>
      <c r="G27" s="61"/>
      <c r="M27" s="63" t="s">
        <v>1</v>
      </c>
      <c r="N27" s="9"/>
      <c r="O27" s="9"/>
      <c r="P27" s="9"/>
      <c r="Q27" s="9"/>
      <c r="S27" s="167"/>
      <c r="V27" s="167"/>
      <c r="W27" s="81"/>
    </row>
    <row r="28" spans="2:31" x14ac:dyDescent="0.35">
      <c r="B28" s="41"/>
      <c r="C28" s="41"/>
      <c r="D28" s="41"/>
      <c r="E28" s="61"/>
      <c r="F28" s="61"/>
      <c r="G28" s="61"/>
      <c r="J28" s="45" t="s">
        <v>111</v>
      </c>
      <c r="K28" s="52">
        <v>0.95</v>
      </c>
      <c r="M28" s="63" t="s">
        <v>1</v>
      </c>
      <c r="N28" s="9"/>
      <c r="O28" s="9"/>
      <c r="P28" s="9"/>
      <c r="R28" s="45" t="s">
        <v>196</v>
      </c>
      <c r="S28" s="167">
        <f>1/3</f>
        <v>0.33333333333333331</v>
      </c>
      <c r="T28" s="153"/>
      <c r="U28" s="153"/>
      <c r="V28" s="167">
        <f>1/3</f>
        <v>0.33333333333333331</v>
      </c>
      <c r="W28" s="9"/>
      <c r="AC28" s="113" t="s">
        <v>103</v>
      </c>
      <c r="AD28" s="126">
        <v>0.25</v>
      </c>
    </row>
    <row r="29" spans="2:31" ht="15" thickBot="1" x14ac:dyDescent="0.4">
      <c r="B29" s="41"/>
      <c r="C29" s="41"/>
      <c r="D29" s="41"/>
      <c r="E29" s="61"/>
      <c r="F29" s="61"/>
      <c r="G29" s="61"/>
      <c r="J29" s="40" t="s">
        <v>1</v>
      </c>
      <c r="M29" s="63" t="s">
        <v>1</v>
      </c>
      <c r="N29" s="9"/>
      <c r="O29" s="9"/>
      <c r="P29" s="9"/>
      <c r="W29" s="9"/>
      <c r="Y29" s="112"/>
      <c r="AC29" s="113"/>
      <c r="AD29" s="126"/>
    </row>
    <row r="30" spans="2:31" ht="15" thickBot="1" x14ac:dyDescent="0.4">
      <c r="B30" s="41"/>
      <c r="C30" s="41"/>
      <c r="D30" s="41"/>
      <c r="E30" s="61"/>
      <c r="F30" s="61"/>
      <c r="G30" s="61"/>
      <c r="J30" s="45" t="s">
        <v>109</v>
      </c>
      <c r="K30" s="64">
        <f>K26*K28</f>
        <v>0.85</v>
      </c>
      <c r="N30" s="9"/>
      <c r="O30" s="9"/>
      <c r="P30" s="9"/>
      <c r="Q30" s="9"/>
      <c r="R30" s="45" t="s">
        <v>197</v>
      </c>
      <c r="S30" s="165">
        <f>S$24*(1+$R$15)^(S26-S28)</f>
        <v>0.98326072200654457</v>
      </c>
      <c r="T30" s="166"/>
      <c r="U30" s="166"/>
      <c r="V30" s="165">
        <f>V$24*(1+$U$15)^(V26-V28)</f>
        <v>0.98676128425749532</v>
      </c>
      <c r="W30" s="9"/>
      <c r="Y30" s="112"/>
      <c r="AC30" s="113" t="s">
        <v>159</v>
      </c>
      <c r="AD30" s="152">
        <f>AD26*AD28</f>
        <v>0.03</v>
      </c>
    </row>
    <row r="31" spans="2:31" x14ac:dyDescent="0.35">
      <c r="B31" s="41"/>
      <c r="C31" s="41"/>
      <c r="D31" s="41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2:31" x14ac:dyDescent="0.35">
      <c r="B32" s="41"/>
      <c r="C32" s="41"/>
      <c r="D32" s="41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2:25" x14ac:dyDescent="0.35">
      <c r="B33" s="41"/>
      <c r="C33" s="41"/>
      <c r="D33" s="41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2:25" x14ac:dyDescent="0.35">
      <c r="B34" s="65" t="s">
        <v>128</v>
      </c>
      <c r="N34" s="155" t="s">
        <v>107</v>
      </c>
      <c r="O34" s="9"/>
      <c r="P34" s="9"/>
      <c r="Q34" s="9"/>
      <c r="R34" s="9"/>
      <c r="S34" s="9"/>
      <c r="T34" s="9"/>
      <c r="U34" s="9"/>
      <c r="V34" s="9"/>
      <c r="W34" s="9"/>
      <c r="Y34" s="128" t="s">
        <v>205</v>
      </c>
    </row>
    <row r="35" spans="2:25" x14ac:dyDescent="0.35">
      <c r="B35" s="65" t="s">
        <v>108</v>
      </c>
      <c r="C35" s="45"/>
      <c r="D35" s="45"/>
      <c r="N35" s="156" t="s">
        <v>117</v>
      </c>
      <c r="O35" s="9"/>
      <c r="P35" s="9"/>
      <c r="Q35" s="9"/>
      <c r="R35" s="9"/>
      <c r="S35" s="9"/>
      <c r="T35" s="9"/>
      <c r="U35" s="9"/>
      <c r="V35" s="9"/>
      <c r="W35" s="9"/>
      <c r="Y35" s="65" t="s">
        <v>206</v>
      </c>
    </row>
    <row r="36" spans="2:25" x14ac:dyDescent="0.35">
      <c r="B36" s="65" t="s">
        <v>71</v>
      </c>
      <c r="N36" s="82" t="s">
        <v>113</v>
      </c>
      <c r="O36" s="9"/>
      <c r="P36" s="9"/>
      <c r="Q36" s="9"/>
      <c r="R36" s="9"/>
      <c r="S36" s="9"/>
      <c r="T36" s="9"/>
      <c r="U36" s="9"/>
      <c r="V36" s="9"/>
      <c r="W36" s="9"/>
      <c r="Y36" s="129" t="s">
        <v>79</v>
      </c>
    </row>
    <row r="37" spans="2:25" x14ac:dyDescent="0.35">
      <c r="B37" s="65" t="s">
        <v>125</v>
      </c>
      <c r="N37" s="82" t="s">
        <v>114</v>
      </c>
      <c r="O37" s="9"/>
      <c r="P37" s="9"/>
      <c r="Q37" s="9"/>
      <c r="R37" s="9"/>
      <c r="S37" s="9"/>
      <c r="T37" s="9"/>
      <c r="U37" s="9"/>
      <c r="V37" s="9"/>
      <c r="W37" s="9"/>
      <c r="Y37" s="129" t="s">
        <v>179</v>
      </c>
    </row>
    <row r="38" spans="2:25" x14ac:dyDescent="0.35">
      <c r="B38" s="65" t="s">
        <v>72</v>
      </c>
      <c r="N38" s="177" t="s">
        <v>156</v>
      </c>
      <c r="O38" s="9"/>
      <c r="P38" s="9"/>
      <c r="Q38" s="9"/>
      <c r="R38" s="9"/>
      <c r="S38" s="9"/>
      <c r="T38" s="9"/>
      <c r="U38" s="9"/>
      <c r="V38" s="9"/>
      <c r="W38" s="9"/>
      <c r="Y38" s="129" t="s">
        <v>80</v>
      </c>
    </row>
    <row r="39" spans="2:25" x14ac:dyDescent="0.35">
      <c r="B39" s="65" t="s">
        <v>127</v>
      </c>
      <c r="N39" s="75" t="s">
        <v>131</v>
      </c>
      <c r="O39" s="9"/>
      <c r="P39" s="9"/>
      <c r="Q39" s="9"/>
      <c r="R39" s="9"/>
      <c r="S39" s="9"/>
      <c r="T39" s="9"/>
      <c r="U39" s="9"/>
      <c r="V39" s="9"/>
      <c r="W39" s="9"/>
      <c r="Y39" s="129" t="s">
        <v>158</v>
      </c>
    </row>
    <row r="40" spans="2:25" x14ac:dyDescent="0.35">
      <c r="B40" s="65" t="s">
        <v>122</v>
      </c>
      <c r="N40" s="82" t="s">
        <v>198</v>
      </c>
      <c r="O40" s="9"/>
      <c r="P40" s="9"/>
      <c r="Q40" s="9"/>
      <c r="R40" s="9"/>
      <c r="S40" s="9"/>
      <c r="T40" s="9"/>
      <c r="U40" s="9"/>
      <c r="V40" s="9"/>
      <c r="Y40" s="129" t="s">
        <v>104</v>
      </c>
    </row>
    <row r="41" spans="2:25" x14ac:dyDescent="0.35">
      <c r="B41" s="65" t="s">
        <v>73</v>
      </c>
      <c r="N41" s="82" t="s">
        <v>199</v>
      </c>
      <c r="S41" s="9"/>
      <c r="T41" s="9"/>
      <c r="U41" s="9"/>
      <c r="V41" s="9"/>
      <c r="Y41" s="130" t="s">
        <v>105</v>
      </c>
    </row>
    <row r="42" spans="2:25" x14ac:dyDescent="0.35">
      <c r="B42" s="65" t="s">
        <v>74</v>
      </c>
      <c r="N42" s="75" t="s">
        <v>200</v>
      </c>
      <c r="S42" s="9"/>
      <c r="T42" s="9"/>
      <c r="U42" s="9"/>
      <c r="V42" s="9"/>
      <c r="Y42" s="130" t="s">
        <v>207</v>
      </c>
    </row>
    <row r="43" spans="2:25" x14ac:dyDescent="0.35">
      <c r="B43" s="129" t="s">
        <v>178</v>
      </c>
      <c r="N43" s="60" t="s">
        <v>203</v>
      </c>
      <c r="S43" s="9"/>
      <c r="T43" s="9"/>
      <c r="U43" s="9"/>
      <c r="V43" s="9"/>
      <c r="Y43" s="130" t="s">
        <v>106</v>
      </c>
    </row>
    <row r="44" spans="2:25" x14ac:dyDescent="0.35">
      <c r="B44" s="129" t="s">
        <v>129</v>
      </c>
      <c r="N44" s="60" t="s">
        <v>201</v>
      </c>
      <c r="S44" s="9"/>
      <c r="T44" s="9"/>
      <c r="U44" s="9"/>
      <c r="V44" s="9"/>
    </row>
    <row r="45" spans="2:25" x14ac:dyDescent="0.35">
      <c r="B45" s="65" t="s">
        <v>120</v>
      </c>
      <c r="N45" s="60" t="s">
        <v>202</v>
      </c>
      <c r="O45" s="9"/>
      <c r="P45" s="9"/>
      <c r="Q45" s="9"/>
      <c r="R45" s="9"/>
      <c r="S45" s="9"/>
      <c r="T45" s="9"/>
      <c r="U45" s="9"/>
      <c r="V45" s="9"/>
      <c r="W45" s="72"/>
      <c r="Y45" s="41"/>
    </row>
    <row r="46" spans="2:25" x14ac:dyDescent="0.35">
      <c r="B46" s="65" t="s">
        <v>121</v>
      </c>
      <c r="N46" s="75" t="s">
        <v>204</v>
      </c>
      <c r="O46" s="9"/>
      <c r="P46" s="9"/>
      <c r="Q46" s="9"/>
      <c r="R46" s="9"/>
      <c r="S46" s="9"/>
      <c r="T46" s="9"/>
      <c r="U46" s="9"/>
      <c r="V46" s="9"/>
      <c r="W46" s="9"/>
    </row>
    <row r="47" spans="2:25" x14ac:dyDescent="0.35">
      <c r="B47" s="65" t="s">
        <v>112</v>
      </c>
      <c r="N47" s="40"/>
      <c r="O47"/>
      <c r="P47"/>
      <c r="Q47"/>
      <c r="R47"/>
      <c r="S47"/>
      <c r="T47"/>
      <c r="U47"/>
      <c r="V47"/>
      <c r="W47"/>
    </row>
    <row r="48" spans="2:25" x14ac:dyDescent="0.35">
      <c r="N48" s="40"/>
      <c r="O48"/>
      <c r="P48"/>
      <c r="Q48"/>
      <c r="R48"/>
      <c r="S48"/>
      <c r="T48"/>
      <c r="U48"/>
      <c r="V48"/>
      <c r="W48"/>
    </row>
    <row r="49" spans="14:23" x14ac:dyDescent="0.35">
      <c r="N49" s="40"/>
      <c r="O49"/>
      <c r="P49"/>
      <c r="Q49"/>
      <c r="R49"/>
      <c r="S49"/>
      <c r="T49"/>
      <c r="U49"/>
      <c r="V49"/>
      <c r="W49"/>
    </row>
    <row r="50" spans="14:23" x14ac:dyDescent="0.35">
      <c r="N50" s="40"/>
      <c r="O50"/>
      <c r="P50"/>
      <c r="Q50"/>
      <c r="R50"/>
      <c r="S50"/>
      <c r="T50"/>
      <c r="U50"/>
      <c r="V50"/>
      <c r="W50"/>
    </row>
    <row r="51" spans="14:23" x14ac:dyDescent="0.35">
      <c r="N51" s="40"/>
      <c r="O51"/>
      <c r="P51"/>
      <c r="Q51"/>
      <c r="R51"/>
      <c r="S51"/>
      <c r="T51"/>
      <c r="U51"/>
      <c r="V51"/>
      <c r="W51"/>
    </row>
    <row r="52" spans="14:23" x14ac:dyDescent="0.35">
      <c r="N52" s="40"/>
      <c r="O52"/>
      <c r="P52"/>
      <c r="Q52"/>
      <c r="R52"/>
      <c r="S52"/>
      <c r="T52"/>
      <c r="U52"/>
      <c r="V52"/>
      <c r="W52"/>
    </row>
    <row r="53" spans="14:23" x14ac:dyDescent="0.35">
      <c r="N53" s="40"/>
      <c r="O53"/>
      <c r="P53"/>
      <c r="Q53"/>
      <c r="R53"/>
      <c r="S53"/>
      <c r="T53"/>
      <c r="U53"/>
      <c r="V53"/>
      <c r="W53"/>
    </row>
    <row r="54" spans="14:23" x14ac:dyDescent="0.35">
      <c r="N54" s="40"/>
      <c r="O54"/>
      <c r="P54"/>
      <c r="Q54"/>
      <c r="R54"/>
      <c r="S54"/>
      <c r="T54"/>
      <c r="U54"/>
      <c r="V54"/>
      <c r="W54"/>
    </row>
    <row r="55" spans="14:23" x14ac:dyDescent="0.35">
      <c r="N55" s="40"/>
      <c r="O55"/>
      <c r="P55"/>
      <c r="Q55"/>
      <c r="R55"/>
      <c r="S55"/>
      <c r="T55"/>
      <c r="U55"/>
      <c r="V55"/>
      <c r="W55"/>
    </row>
    <row r="56" spans="14:23" x14ac:dyDescent="0.35">
      <c r="N56" s="72"/>
      <c r="O56"/>
      <c r="P56"/>
      <c r="Q56"/>
      <c r="R56"/>
      <c r="S56"/>
      <c r="T56"/>
      <c r="U56"/>
      <c r="V56"/>
      <c r="W56"/>
    </row>
    <row r="57" spans="14:23" x14ac:dyDescent="0.35">
      <c r="N57" s="72"/>
      <c r="O57"/>
      <c r="P57"/>
      <c r="Q57"/>
      <c r="R57"/>
      <c r="S57"/>
      <c r="T57"/>
      <c r="U57"/>
      <c r="V57"/>
      <c r="W57"/>
    </row>
    <row r="58" spans="14:23" x14ac:dyDescent="0.35">
      <c r="N58" s="72"/>
      <c r="O58"/>
      <c r="P58"/>
      <c r="Q58"/>
      <c r="R58"/>
      <c r="S58"/>
      <c r="T58"/>
      <c r="U58"/>
      <c r="V58"/>
      <c r="W58"/>
    </row>
    <row r="59" spans="14:23" x14ac:dyDescent="0.35">
      <c r="N59" s="72"/>
      <c r="O59"/>
      <c r="P59"/>
      <c r="Q59"/>
      <c r="R59"/>
      <c r="S59"/>
      <c r="T59"/>
      <c r="U59"/>
      <c r="V59"/>
      <c r="W59"/>
    </row>
    <row r="60" spans="14:23" x14ac:dyDescent="0.35">
      <c r="S60"/>
      <c r="T60"/>
      <c r="U60"/>
      <c r="V60"/>
      <c r="W60"/>
    </row>
    <row r="61" spans="14:23" x14ac:dyDescent="0.35">
      <c r="S61"/>
      <c r="T61"/>
      <c r="U61"/>
      <c r="V61"/>
      <c r="W61"/>
    </row>
    <row r="62" spans="14:23" x14ac:dyDescent="0.35">
      <c r="S62"/>
      <c r="T62"/>
      <c r="U62"/>
      <c r="V62"/>
      <c r="W62"/>
    </row>
    <row r="63" spans="14:23" x14ac:dyDescent="0.35">
      <c r="S63"/>
      <c r="T63"/>
      <c r="U63"/>
      <c r="V63"/>
      <c r="W63"/>
    </row>
    <row r="64" spans="14:23" x14ac:dyDescent="0.35">
      <c r="S64"/>
      <c r="T64"/>
      <c r="U64"/>
      <c r="V64"/>
      <c r="W64"/>
    </row>
    <row r="65" spans="19:23" x14ac:dyDescent="0.35">
      <c r="S65"/>
      <c r="T65"/>
      <c r="U65"/>
      <c r="V65"/>
      <c r="W65"/>
    </row>
    <row r="66" spans="19:23" x14ac:dyDescent="0.35">
      <c r="S66"/>
      <c r="T66"/>
      <c r="U66"/>
      <c r="V66"/>
      <c r="W66"/>
    </row>
    <row r="67" spans="19:23" x14ac:dyDescent="0.35">
      <c r="S67"/>
      <c r="T67"/>
      <c r="U67"/>
      <c r="V67"/>
      <c r="W67"/>
    </row>
    <row r="68" spans="19:23" x14ac:dyDescent="0.35">
      <c r="S68"/>
      <c r="T68"/>
      <c r="U68"/>
      <c r="V68"/>
      <c r="W68"/>
    </row>
    <row r="69" spans="19:23" x14ac:dyDescent="0.35">
      <c r="S69"/>
      <c r="T69"/>
      <c r="U69"/>
      <c r="V69"/>
      <c r="W69"/>
    </row>
    <row r="70" spans="19:23" x14ac:dyDescent="0.35">
      <c r="S70"/>
      <c r="T70"/>
      <c r="U70"/>
      <c r="V70"/>
      <c r="W70"/>
    </row>
    <row r="71" spans="19:23" x14ac:dyDescent="0.35">
      <c r="S71"/>
      <c r="T71"/>
      <c r="U71"/>
      <c r="V71"/>
      <c r="W71"/>
    </row>
    <row r="72" spans="19:23" x14ac:dyDescent="0.35">
      <c r="S72"/>
      <c r="T72"/>
      <c r="U72"/>
      <c r="V72"/>
      <c r="W72"/>
    </row>
    <row r="73" spans="19:23" x14ac:dyDescent="0.35">
      <c r="S73"/>
      <c r="T73"/>
      <c r="U73"/>
      <c r="V73"/>
      <c r="W73"/>
    </row>
    <row r="74" spans="19:23" x14ac:dyDescent="0.35">
      <c r="S74"/>
      <c r="T74"/>
      <c r="U74"/>
      <c r="V74"/>
      <c r="W74"/>
    </row>
    <row r="75" spans="19:23" x14ac:dyDescent="0.35">
      <c r="S75"/>
      <c r="T75"/>
      <c r="U75"/>
      <c r="V75"/>
      <c r="W75"/>
    </row>
    <row r="76" spans="19:23" x14ac:dyDescent="0.35">
      <c r="S76"/>
      <c r="T76"/>
      <c r="U76"/>
      <c r="V76"/>
      <c r="W76"/>
    </row>
    <row r="77" spans="19:23" x14ac:dyDescent="0.35">
      <c r="S77"/>
      <c r="T77"/>
      <c r="U77"/>
      <c r="V77"/>
      <c r="W77"/>
    </row>
    <row r="78" spans="19:23" x14ac:dyDescent="0.35">
      <c r="S78"/>
      <c r="T78"/>
      <c r="U78"/>
      <c r="V78"/>
      <c r="W78"/>
    </row>
    <row r="79" spans="19:23" x14ac:dyDescent="0.35">
      <c r="S79"/>
      <c r="T79"/>
      <c r="U79"/>
      <c r="V79"/>
      <c r="W79"/>
    </row>
    <row r="80" spans="19:23" x14ac:dyDescent="0.35">
      <c r="S80"/>
      <c r="T80"/>
      <c r="U80"/>
      <c r="V80"/>
      <c r="W80"/>
    </row>
    <row r="81" spans="19:23" x14ac:dyDescent="0.35">
      <c r="S81"/>
      <c r="T81"/>
      <c r="U81"/>
      <c r="V81"/>
      <c r="W81"/>
    </row>
    <row r="82" spans="19:23" x14ac:dyDescent="0.35">
      <c r="S82"/>
      <c r="T82"/>
      <c r="U82"/>
      <c r="V82"/>
      <c r="W82"/>
    </row>
    <row r="83" spans="19:23" x14ac:dyDescent="0.35">
      <c r="S83"/>
      <c r="T83"/>
      <c r="U83"/>
      <c r="V83"/>
      <c r="W83"/>
    </row>
    <row r="84" spans="19:23" x14ac:dyDescent="0.35">
      <c r="S84"/>
      <c r="T84"/>
      <c r="U84"/>
      <c r="V84"/>
      <c r="W84"/>
    </row>
    <row r="85" spans="19:23" x14ac:dyDescent="0.35">
      <c r="S85"/>
      <c r="T85"/>
      <c r="U85"/>
      <c r="V85"/>
      <c r="W85"/>
    </row>
    <row r="86" spans="19:23" x14ac:dyDescent="0.35">
      <c r="S86"/>
      <c r="T86"/>
      <c r="U86"/>
      <c r="V86"/>
      <c r="W86"/>
    </row>
    <row r="87" spans="19:23" x14ac:dyDescent="0.35">
      <c r="S87"/>
      <c r="T87"/>
      <c r="U87"/>
      <c r="V87"/>
      <c r="W87"/>
    </row>
    <row r="88" spans="19:23" x14ac:dyDescent="0.35">
      <c r="S88"/>
      <c r="T88"/>
      <c r="U88"/>
      <c r="V88"/>
      <c r="W88"/>
    </row>
    <row r="89" spans="19:23" x14ac:dyDescent="0.35">
      <c r="S89"/>
      <c r="T89"/>
      <c r="U89"/>
      <c r="V89"/>
      <c r="W89"/>
    </row>
    <row r="90" spans="19:23" x14ac:dyDescent="0.35">
      <c r="S90"/>
      <c r="T90"/>
      <c r="U90"/>
      <c r="V90"/>
      <c r="W90"/>
    </row>
    <row r="91" spans="19:23" x14ac:dyDescent="0.35">
      <c r="S91"/>
      <c r="T91"/>
      <c r="U91"/>
      <c r="V91"/>
      <c r="W91"/>
    </row>
    <row r="92" spans="19:23" x14ac:dyDescent="0.35">
      <c r="S92"/>
      <c r="T92"/>
      <c r="U92"/>
      <c r="V92"/>
      <c r="W92"/>
    </row>
    <row r="93" spans="19:23" x14ac:dyDescent="0.35">
      <c r="S93"/>
      <c r="T93"/>
      <c r="U93"/>
      <c r="V93"/>
      <c r="W93"/>
    </row>
    <row r="94" spans="19:23" x14ac:dyDescent="0.35">
      <c r="S94"/>
      <c r="T94"/>
      <c r="U94"/>
      <c r="V94"/>
      <c r="W94"/>
    </row>
    <row r="95" spans="19:23" x14ac:dyDescent="0.35">
      <c r="S95"/>
      <c r="T95"/>
      <c r="U95"/>
      <c r="V95"/>
      <c r="W95"/>
    </row>
    <row r="96" spans="19:23" x14ac:dyDescent="0.35">
      <c r="S96"/>
      <c r="T96"/>
      <c r="U96"/>
      <c r="V96"/>
      <c r="W96"/>
    </row>
    <row r="97" spans="19:23" x14ac:dyDescent="0.35">
      <c r="S97"/>
      <c r="T97"/>
      <c r="U97"/>
      <c r="V97"/>
      <c r="W97"/>
    </row>
    <row r="98" spans="19:23" x14ac:dyDescent="0.35">
      <c r="S98"/>
      <c r="T98"/>
      <c r="U98"/>
      <c r="V98"/>
      <c r="W98"/>
    </row>
    <row r="99" spans="19:23" x14ac:dyDescent="0.35">
      <c r="S99"/>
      <c r="T99"/>
      <c r="U99"/>
      <c r="V99"/>
      <c r="W99"/>
    </row>
    <row r="100" spans="19:23" x14ac:dyDescent="0.35">
      <c r="S100"/>
      <c r="T100"/>
      <c r="U100"/>
      <c r="V100"/>
      <c r="W100"/>
    </row>
    <row r="101" spans="19:23" x14ac:dyDescent="0.35">
      <c r="S101"/>
      <c r="T101"/>
      <c r="U101"/>
      <c r="V101"/>
      <c r="W101"/>
    </row>
    <row r="102" spans="19:23" x14ac:dyDescent="0.35">
      <c r="S102"/>
      <c r="T102"/>
      <c r="U102"/>
      <c r="V102"/>
      <c r="W102"/>
    </row>
    <row r="103" spans="19:23" x14ac:dyDescent="0.35">
      <c r="S103"/>
      <c r="T103"/>
      <c r="U103"/>
      <c r="V103"/>
      <c r="W103"/>
    </row>
    <row r="104" spans="19:23" x14ac:dyDescent="0.35">
      <c r="S104"/>
      <c r="T104"/>
      <c r="U104"/>
      <c r="V104"/>
      <c r="W104"/>
    </row>
    <row r="105" spans="19:23" x14ac:dyDescent="0.35">
      <c r="S105"/>
      <c r="T105"/>
      <c r="U105"/>
      <c r="V105"/>
      <c r="W105"/>
    </row>
    <row r="106" spans="19:23" x14ac:dyDescent="0.35">
      <c r="S106"/>
      <c r="T106"/>
      <c r="U106"/>
      <c r="V106"/>
      <c r="W106"/>
    </row>
    <row r="107" spans="19:23" x14ac:dyDescent="0.35">
      <c r="S107"/>
      <c r="T107"/>
      <c r="U107"/>
      <c r="V107"/>
      <c r="W107"/>
    </row>
    <row r="108" spans="19:23" x14ac:dyDescent="0.35">
      <c r="S108"/>
      <c r="T108"/>
      <c r="U108"/>
      <c r="V108"/>
      <c r="W108"/>
    </row>
    <row r="109" spans="19:23" x14ac:dyDescent="0.35">
      <c r="S109"/>
      <c r="T109"/>
      <c r="U109"/>
      <c r="V109"/>
      <c r="W109"/>
    </row>
    <row r="110" spans="19:23" x14ac:dyDescent="0.35">
      <c r="S110"/>
      <c r="T110"/>
      <c r="U110"/>
      <c r="V110"/>
      <c r="W110"/>
    </row>
    <row r="111" spans="19:23" x14ac:dyDescent="0.35">
      <c r="S111"/>
      <c r="T111"/>
      <c r="U111"/>
      <c r="V111"/>
      <c r="W111"/>
    </row>
    <row r="112" spans="19:23" x14ac:dyDescent="0.35">
      <c r="S112"/>
      <c r="T112"/>
      <c r="U112"/>
      <c r="V112"/>
      <c r="W112"/>
    </row>
    <row r="113" spans="19:23" x14ac:dyDescent="0.35">
      <c r="S113"/>
      <c r="T113"/>
      <c r="U113"/>
      <c r="V113"/>
      <c r="W113"/>
    </row>
    <row r="114" spans="19:23" x14ac:dyDescent="0.35">
      <c r="S114"/>
      <c r="T114"/>
      <c r="U114"/>
      <c r="V114"/>
      <c r="W114"/>
    </row>
    <row r="115" spans="19:23" x14ac:dyDescent="0.35">
      <c r="S115"/>
      <c r="T115"/>
      <c r="U115"/>
      <c r="V115"/>
      <c r="W115"/>
    </row>
    <row r="116" spans="19:23" x14ac:dyDescent="0.35">
      <c r="S116"/>
      <c r="T116"/>
      <c r="U116"/>
      <c r="V116"/>
      <c r="W116"/>
    </row>
    <row r="117" spans="19:23" x14ac:dyDescent="0.35">
      <c r="S117"/>
      <c r="T117"/>
      <c r="U117"/>
      <c r="V117"/>
      <c r="W117"/>
    </row>
    <row r="118" spans="19:23" x14ac:dyDescent="0.35">
      <c r="S118"/>
      <c r="T118"/>
      <c r="U118"/>
      <c r="V118"/>
      <c r="W118"/>
    </row>
    <row r="119" spans="19:23" x14ac:dyDescent="0.35">
      <c r="S119"/>
      <c r="T119"/>
      <c r="U119"/>
      <c r="V119"/>
      <c r="W119"/>
    </row>
    <row r="120" spans="19:23" x14ac:dyDescent="0.35">
      <c r="S120"/>
      <c r="T120"/>
      <c r="U120"/>
      <c r="V120"/>
      <c r="W120"/>
    </row>
  </sheetData>
  <customSheetViews>
    <customSheetView guid="{020FDF89-1AED-46D2-96B6-2FF201CB5CDD}" showPageBreaks="1" printArea="1" view="pageBreakPreview">
      <selection activeCell="AD11" sqref="AD11"/>
      <colBreaks count="2" manualBreakCount="2">
        <brk id="12" max="46" man="1"/>
        <brk id="23" max="46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65" orientation="landscape" r:id="rId1"/>
    </customSheetView>
    <customSheetView guid="{1A2B400A-4A27-4699-A7C5-54ECA3456E42}" showPageBreaks="1" printArea="1" view="pageBreakPreview" topLeftCell="C13">
      <selection activeCell="J22" sqref="J22"/>
      <colBreaks count="2" manualBreakCount="2">
        <brk id="12" max="46" man="1"/>
        <brk id="23" max="46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65" orientation="landscape" r:id="rId2"/>
    </customSheetView>
    <customSheetView guid="{1E3D3DC7-1899-4018-BCDC-6919FAD5C5D1}" showPageBreaks="1" printArea="1" view="pageBreakPreview">
      <selection activeCell="AD11" sqref="AD11"/>
      <colBreaks count="2" manualBreakCount="2">
        <brk id="12" max="46" man="1"/>
        <brk id="23" max="46" man="1"/>
      </colBreaks>
      <pageMargins left="0.70866141732283472" right="0.70866141732283472" top="0.74803149606299213" bottom="0.74803149606299213" header="0.31496062992125984" footer="0.31496062992125984"/>
      <printOptions horizontalCentered="1"/>
      <pageSetup scale="65" orientation="landscape" r:id="rId3"/>
    </customSheetView>
  </customSheetView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4"/>
  <colBreaks count="2" manualBreakCount="2">
    <brk id="12" max="46" man="1"/>
    <brk id="23" max="46" man="1"/>
  </colBreaks>
  <ignoredErrors>
    <ignoredError sqref="W10:AD10 C10:N10" numberStoredAsText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3"/>
  <sheetViews>
    <sheetView view="pageBreakPreview" zoomScaleNormal="75" zoomScaleSheetLayoutView="100" workbookViewId="0">
      <selection activeCell="AP9" sqref="AP9"/>
    </sheetView>
  </sheetViews>
  <sheetFormatPr defaultRowHeight="14.5" x14ac:dyDescent="0.35"/>
  <cols>
    <col min="1" max="1" width="5.26953125" customWidth="1"/>
    <col min="2" max="2" width="30.7265625" customWidth="1"/>
    <col min="3" max="7" width="9.7265625" customWidth="1"/>
    <col min="8" max="10" width="10.7265625" customWidth="1"/>
    <col min="11" max="11" width="11.54296875" style="67" customWidth="1"/>
    <col min="12" max="12" width="10.54296875" style="67" customWidth="1"/>
    <col min="13" max="13" width="10.453125" bestFit="1" customWidth="1"/>
    <col min="14" max="15" width="5.26953125" customWidth="1"/>
    <col min="16" max="16" width="30.7265625" customWidth="1"/>
    <col min="17" max="17" width="9.7265625" customWidth="1"/>
    <col min="18" max="18" width="11.1796875" customWidth="1"/>
    <col min="19" max="19" width="9.7265625" customWidth="1"/>
    <col min="20" max="20" width="11.7265625" customWidth="1"/>
    <col min="21" max="23" width="9.7265625" customWidth="1"/>
    <col min="24" max="24" width="10.81640625" customWidth="1"/>
    <col min="25" max="27" width="9.54296875" customWidth="1"/>
    <col min="28" max="28" width="11.7265625" style="9" customWidth="1"/>
    <col min="29" max="30" width="5.26953125" customWidth="1"/>
    <col min="31" max="31" width="30.7265625" customWidth="1"/>
    <col min="32" max="39" width="11.7265625" customWidth="1"/>
    <col min="40" max="41" width="10.7265625" customWidth="1"/>
    <col min="42" max="42" width="11.7265625" customWidth="1"/>
    <col min="43" max="43" width="5.26953125" customWidth="1"/>
    <col min="44" max="46" width="10.7265625" customWidth="1"/>
    <col min="47" max="47" width="2.7265625" style="25" customWidth="1"/>
    <col min="48" max="48" width="11.7265625" customWidth="1"/>
  </cols>
  <sheetData>
    <row r="1" spans="1:48" ht="18.5" x14ac:dyDescent="0.45">
      <c r="N1" s="36" t="s">
        <v>90</v>
      </c>
      <c r="AB1" s="36"/>
      <c r="AC1" s="36" t="str">
        <f>N1</f>
        <v>Appendix C</v>
      </c>
      <c r="AQ1" s="36" t="str">
        <f>AC1</f>
        <v>Appendix C</v>
      </c>
      <c r="AS1" s="33"/>
      <c r="AT1" s="33"/>
    </row>
    <row r="2" spans="1:48" ht="18.5" x14ac:dyDescent="0.45">
      <c r="A2" s="1"/>
      <c r="B2" s="32" t="s">
        <v>39</v>
      </c>
      <c r="C2" s="2"/>
      <c r="D2" s="1"/>
      <c r="E2" s="1"/>
      <c r="F2" s="1"/>
      <c r="G2" s="1"/>
      <c r="H2" s="1"/>
      <c r="I2" s="1"/>
      <c r="J2" s="1"/>
      <c r="N2" s="36" t="s">
        <v>49</v>
      </c>
      <c r="O2" s="1"/>
      <c r="P2" s="32" t="s">
        <v>39</v>
      </c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36"/>
      <c r="AC2" s="36" t="s">
        <v>50</v>
      </c>
      <c r="AD2" s="1"/>
      <c r="AE2" s="32" t="s">
        <v>39</v>
      </c>
      <c r="AF2" s="2"/>
      <c r="AG2" s="1"/>
      <c r="AH2" s="2"/>
      <c r="AI2" s="1"/>
      <c r="AJ2" s="1"/>
      <c r="AK2" s="1"/>
      <c r="AL2" s="1"/>
      <c r="AM2" s="1"/>
      <c r="AN2" s="1"/>
      <c r="AO2" s="1"/>
      <c r="AQ2" s="36" t="s">
        <v>51</v>
      </c>
      <c r="AR2" s="1"/>
      <c r="AS2" s="33"/>
      <c r="AT2" s="33"/>
      <c r="AU2" s="24"/>
    </row>
    <row r="3" spans="1:48" s="25" customFormat="1" ht="18" customHeight="1" x14ac:dyDescent="0.4">
      <c r="A3" s="24"/>
      <c r="B3" s="32" t="str">
        <f>P3</f>
        <v>Premium Liabilities Analysis</v>
      </c>
      <c r="C3" s="32"/>
      <c r="D3" s="24"/>
      <c r="E3" s="24"/>
      <c r="F3" s="24"/>
      <c r="G3" s="24"/>
      <c r="H3" s="24"/>
      <c r="I3" s="33"/>
      <c r="J3" s="33"/>
      <c r="K3" s="68"/>
      <c r="L3" s="68"/>
      <c r="N3" s="24"/>
      <c r="O3" s="24"/>
      <c r="P3" s="32" t="s">
        <v>136</v>
      </c>
      <c r="Q3" s="32"/>
      <c r="R3" s="32"/>
      <c r="S3" s="24"/>
      <c r="T3" s="24"/>
      <c r="U3" s="24"/>
      <c r="V3" s="24"/>
      <c r="W3" s="24"/>
      <c r="X3" s="24"/>
      <c r="Y3" s="24"/>
      <c r="Z3" s="33"/>
      <c r="AA3" s="33"/>
      <c r="AB3" s="34"/>
      <c r="AC3" s="24"/>
      <c r="AD3" s="24"/>
      <c r="AE3" s="32" t="str">
        <f>P3</f>
        <v>Premium Liabilities Analysis</v>
      </c>
      <c r="AF3" s="32"/>
      <c r="AG3" s="24"/>
      <c r="AH3" s="32"/>
      <c r="AI3" s="24"/>
      <c r="AJ3" s="24"/>
      <c r="AK3" s="24"/>
      <c r="AL3" s="24"/>
      <c r="AM3" s="24"/>
      <c r="AN3" s="24"/>
      <c r="AO3" s="24"/>
      <c r="AP3" s="24"/>
      <c r="AQ3" s="33"/>
      <c r="AR3" s="24"/>
      <c r="AS3" s="33"/>
      <c r="AT3" s="33"/>
      <c r="AU3" s="24"/>
    </row>
    <row r="4" spans="1:48" s="25" customFormat="1" ht="18" customHeight="1" x14ac:dyDescent="0.4">
      <c r="A4" s="24"/>
      <c r="B4" s="32" t="str">
        <f>P4</f>
        <v>Net Basis</v>
      </c>
      <c r="C4" s="32"/>
      <c r="D4" s="24"/>
      <c r="E4" s="24"/>
      <c r="F4" s="24"/>
      <c r="G4" s="24"/>
      <c r="H4" s="24"/>
      <c r="I4" s="33"/>
      <c r="J4" s="33"/>
      <c r="K4" s="68"/>
      <c r="L4" s="68"/>
      <c r="N4" s="24"/>
      <c r="O4" s="24"/>
      <c r="P4" s="32" t="s">
        <v>135</v>
      </c>
      <c r="Q4" s="32"/>
      <c r="R4" s="32"/>
      <c r="S4" s="24"/>
      <c r="T4" s="24"/>
      <c r="U4" s="24"/>
      <c r="V4" s="24"/>
      <c r="W4" s="24"/>
      <c r="X4" s="24"/>
      <c r="Y4" s="24"/>
      <c r="Z4" s="33"/>
      <c r="AA4" s="33"/>
      <c r="AB4" s="34"/>
      <c r="AC4" s="24"/>
      <c r="AD4" s="24"/>
      <c r="AE4" s="32" t="str">
        <f>P4</f>
        <v>Net Basis</v>
      </c>
      <c r="AF4" s="32"/>
      <c r="AG4" s="24"/>
      <c r="AH4" s="32"/>
      <c r="AI4" s="24"/>
      <c r="AJ4" s="24"/>
      <c r="AK4" s="24"/>
      <c r="AL4" s="24"/>
      <c r="AM4" s="24"/>
      <c r="AN4" s="24"/>
      <c r="AO4" s="24"/>
      <c r="AP4" s="24"/>
      <c r="AQ4" s="33"/>
      <c r="AR4" s="24"/>
      <c r="AS4" s="33"/>
      <c r="AT4" s="33"/>
      <c r="AU4" s="24"/>
    </row>
    <row r="5" spans="1:48" ht="18" x14ac:dyDescent="0.4">
      <c r="A5" s="1"/>
      <c r="B5" s="32" t="s">
        <v>44</v>
      </c>
      <c r="C5" s="3"/>
      <c r="D5" s="1"/>
      <c r="E5" s="1"/>
      <c r="F5" s="1"/>
      <c r="G5" s="1"/>
      <c r="H5" s="1"/>
      <c r="I5" s="30"/>
      <c r="J5" s="30"/>
      <c r="K5" s="69"/>
      <c r="L5" s="69"/>
      <c r="N5" s="1"/>
      <c r="O5" s="1"/>
      <c r="P5" s="32" t="s">
        <v>44</v>
      </c>
      <c r="Q5" s="3"/>
      <c r="R5" s="3"/>
      <c r="S5" s="24"/>
      <c r="T5" s="1"/>
      <c r="U5" s="1"/>
      <c r="V5" s="1"/>
      <c r="W5" s="1"/>
      <c r="X5" s="1"/>
      <c r="Y5" s="1"/>
      <c r="Z5" s="30"/>
      <c r="AA5" s="30"/>
      <c r="AB5" s="31"/>
      <c r="AC5" s="1"/>
      <c r="AD5" s="1"/>
      <c r="AE5" s="32" t="s">
        <v>44</v>
      </c>
      <c r="AF5" s="3"/>
      <c r="AG5" s="1"/>
      <c r="AH5" s="3"/>
      <c r="AI5" s="1"/>
      <c r="AJ5" s="1"/>
      <c r="AK5" s="1"/>
      <c r="AL5" s="1"/>
      <c r="AM5" s="1"/>
      <c r="AN5" s="1"/>
      <c r="AO5" s="1"/>
      <c r="AP5" s="1"/>
      <c r="AR5" s="1"/>
      <c r="AS5" s="30"/>
      <c r="AT5" s="30"/>
      <c r="AU5" s="24"/>
    </row>
    <row r="6" spans="1:48" ht="18" x14ac:dyDescent="0.4">
      <c r="A6" s="1"/>
      <c r="B6" s="32" t="s">
        <v>41</v>
      </c>
      <c r="C6" s="3"/>
      <c r="D6" s="1"/>
      <c r="E6" s="1"/>
      <c r="F6" s="1"/>
      <c r="G6" s="1"/>
      <c r="H6" s="1"/>
      <c r="I6" s="30"/>
      <c r="J6" s="30"/>
      <c r="K6" s="69"/>
      <c r="L6" s="69"/>
      <c r="N6" s="1"/>
      <c r="O6" s="1"/>
      <c r="P6" s="32" t="s">
        <v>41</v>
      </c>
      <c r="Q6" s="3"/>
      <c r="R6" s="3"/>
      <c r="S6" s="1"/>
      <c r="T6" s="1"/>
      <c r="U6" s="1"/>
      <c r="V6" s="1"/>
      <c r="W6" s="1"/>
      <c r="X6" s="1"/>
      <c r="Y6" s="1"/>
      <c r="Z6" s="30"/>
      <c r="AA6" s="30"/>
      <c r="AB6" s="31"/>
      <c r="AC6" s="1"/>
      <c r="AD6" s="1"/>
      <c r="AE6" s="32" t="s">
        <v>41</v>
      </c>
      <c r="AF6" s="3"/>
      <c r="AG6" s="1"/>
      <c r="AH6" s="3"/>
      <c r="AI6" s="1"/>
      <c r="AJ6" s="1"/>
      <c r="AK6" s="1"/>
      <c r="AL6" s="1"/>
      <c r="AM6" s="1"/>
      <c r="AN6" s="1"/>
      <c r="AO6" s="1"/>
      <c r="AP6" s="1"/>
      <c r="AR6" s="1"/>
      <c r="AS6" s="30"/>
      <c r="AT6" s="30"/>
      <c r="AU6" s="24"/>
    </row>
    <row r="7" spans="1:48" x14ac:dyDescent="0.35">
      <c r="AR7" s="1"/>
      <c r="AS7" s="30"/>
      <c r="AT7" s="30"/>
    </row>
    <row r="8" spans="1:48" x14ac:dyDescent="0.35">
      <c r="B8" s="19"/>
      <c r="C8" s="19">
        <v>-1</v>
      </c>
      <c r="D8" s="19">
        <f t="shared" ref="D8:E8" si="0">C8-1</f>
        <v>-2</v>
      </c>
      <c r="E8" s="19">
        <f t="shared" si="0"/>
        <v>-3</v>
      </c>
      <c r="F8" s="19">
        <f t="shared" ref="F8" si="1">E8-1</f>
        <v>-4</v>
      </c>
      <c r="G8" s="19">
        <f t="shared" ref="G8" si="2">F8-1</f>
        <v>-5</v>
      </c>
      <c r="H8" s="19">
        <f t="shared" ref="H8" si="3">G8-1</f>
        <v>-6</v>
      </c>
      <c r="I8" s="19">
        <f t="shared" ref="I8" si="4">H8-1</f>
        <v>-7</v>
      </c>
      <c r="J8" s="19">
        <f t="shared" ref="J8" si="5">I8-1</f>
        <v>-8</v>
      </c>
      <c r="K8" s="19">
        <f t="shared" ref="K8" si="6">J8-1</f>
        <v>-9</v>
      </c>
      <c r="L8" s="19">
        <f t="shared" ref="L8" si="7">K8-1</f>
        <v>-10</v>
      </c>
      <c r="M8" s="19">
        <f t="shared" ref="M8" si="8">L8-1</f>
        <v>-11</v>
      </c>
      <c r="P8" s="19"/>
      <c r="Q8" s="19">
        <f>M8-1</f>
        <v>-12</v>
      </c>
      <c r="R8" s="19">
        <f t="shared" ref="R8:AB8" si="9">Q8-1</f>
        <v>-13</v>
      </c>
      <c r="S8" s="19">
        <f t="shared" si="9"/>
        <v>-14</v>
      </c>
      <c r="T8" s="19">
        <f t="shared" si="9"/>
        <v>-15</v>
      </c>
      <c r="U8" s="19">
        <f t="shared" si="9"/>
        <v>-16</v>
      </c>
      <c r="V8" s="19">
        <f t="shared" si="9"/>
        <v>-17</v>
      </c>
      <c r="W8" s="19">
        <f t="shared" si="9"/>
        <v>-18</v>
      </c>
      <c r="X8" s="19">
        <f t="shared" si="9"/>
        <v>-19</v>
      </c>
      <c r="Y8" s="19">
        <f t="shared" si="9"/>
        <v>-20</v>
      </c>
      <c r="Z8" s="19">
        <f t="shared" si="9"/>
        <v>-21</v>
      </c>
      <c r="AA8" s="19">
        <f t="shared" si="9"/>
        <v>-22</v>
      </c>
      <c r="AB8" s="19">
        <f t="shared" si="9"/>
        <v>-23</v>
      </c>
      <c r="AE8" s="19"/>
      <c r="AF8" s="19">
        <f>AB8-1</f>
        <v>-24</v>
      </c>
      <c r="AG8" s="19">
        <f>AF8-1</f>
        <v>-25</v>
      </c>
      <c r="AH8" s="19">
        <f t="shared" ref="AH8:AP8" si="10">AG8-1</f>
        <v>-26</v>
      </c>
      <c r="AI8" s="19">
        <f t="shared" si="10"/>
        <v>-27</v>
      </c>
      <c r="AJ8" s="19">
        <f t="shared" si="10"/>
        <v>-28</v>
      </c>
      <c r="AK8" s="19">
        <f t="shared" si="10"/>
        <v>-29</v>
      </c>
      <c r="AL8" s="19">
        <f t="shared" si="10"/>
        <v>-30</v>
      </c>
      <c r="AM8" s="19">
        <f t="shared" si="10"/>
        <v>-31</v>
      </c>
      <c r="AN8" s="19">
        <f t="shared" si="10"/>
        <v>-32</v>
      </c>
      <c r="AO8" s="19">
        <f t="shared" si="10"/>
        <v>-33</v>
      </c>
      <c r="AP8" s="19">
        <f t="shared" si="10"/>
        <v>-34</v>
      </c>
      <c r="AR8" s="1"/>
      <c r="AS8" s="30"/>
      <c r="AT8" s="30"/>
      <c r="AU8" s="26"/>
    </row>
    <row r="9" spans="1:48" ht="75" customHeight="1" x14ac:dyDescent="0.35">
      <c r="B9" s="13" t="s">
        <v>28</v>
      </c>
      <c r="C9" s="14" t="s">
        <v>32</v>
      </c>
      <c r="D9" s="14" t="s">
        <v>33</v>
      </c>
      <c r="E9" s="14" t="s">
        <v>34</v>
      </c>
      <c r="F9" s="14" t="s">
        <v>35</v>
      </c>
      <c r="G9" s="14" t="s">
        <v>29</v>
      </c>
      <c r="H9" s="14" t="s">
        <v>243</v>
      </c>
      <c r="I9" s="14" t="s">
        <v>163</v>
      </c>
      <c r="J9" s="70" t="s">
        <v>164</v>
      </c>
      <c r="K9" s="70" t="str">
        <f>GrossPremLiab!K9</f>
        <v>Selected ULAE  Ratio (% Loss + ALAE)</v>
      </c>
      <c r="L9" s="70" t="s">
        <v>162</v>
      </c>
      <c r="M9" s="14" t="s">
        <v>87</v>
      </c>
      <c r="P9" s="21" t="s">
        <v>28</v>
      </c>
      <c r="Q9" s="22" t="s">
        <v>169</v>
      </c>
      <c r="R9" s="22" t="s">
        <v>84</v>
      </c>
      <c r="S9" s="22" t="s">
        <v>173</v>
      </c>
      <c r="T9" s="22" t="s">
        <v>174</v>
      </c>
      <c r="U9" s="22" t="s">
        <v>85</v>
      </c>
      <c r="V9" s="22" t="s">
        <v>247</v>
      </c>
      <c r="W9" s="22" t="s">
        <v>248</v>
      </c>
      <c r="X9" s="22" t="s">
        <v>82</v>
      </c>
      <c r="Y9" s="22" t="s">
        <v>30</v>
      </c>
      <c r="Z9" s="22" t="s">
        <v>31</v>
      </c>
      <c r="AA9" s="22" t="s">
        <v>38</v>
      </c>
      <c r="AB9" s="23" t="s">
        <v>86</v>
      </c>
      <c r="AE9" s="21" t="s">
        <v>28</v>
      </c>
      <c r="AF9" s="22" t="s">
        <v>244</v>
      </c>
      <c r="AG9" s="22" t="s">
        <v>36</v>
      </c>
      <c r="AH9" s="22" t="s">
        <v>245</v>
      </c>
      <c r="AI9" s="22" t="s">
        <v>37</v>
      </c>
      <c r="AJ9" s="22" t="s">
        <v>77</v>
      </c>
      <c r="AK9" s="22" t="s">
        <v>224</v>
      </c>
      <c r="AL9" s="22" t="s">
        <v>161</v>
      </c>
      <c r="AM9" s="22" t="s">
        <v>230</v>
      </c>
      <c r="AN9" s="22" t="s">
        <v>52</v>
      </c>
      <c r="AO9" s="22" t="s">
        <v>42</v>
      </c>
      <c r="AP9" s="22" t="s">
        <v>43</v>
      </c>
      <c r="AR9" s="1"/>
      <c r="AS9" s="30"/>
      <c r="AT9" s="30"/>
      <c r="AU9" s="27"/>
    </row>
    <row r="10" spans="1:48" x14ac:dyDescent="0.35">
      <c r="B10" s="4" t="s">
        <v>11</v>
      </c>
      <c r="C10" s="5">
        <f>GrossPremLiab!C10</f>
        <v>10000</v>
      </c>
      <c r="D10" s="5">
        <f>GrossPremLiab!D10</f>
        <v>0</v>
      </c>
      <c r="E10" s="5">
        <f>C10+D10</f>
        <v>10000</v>
      </c>
      <c r="F10" s="5">
        <v>500</v>
      </c>
      <c r="G10" s="5">
        <f>IFERROR(E10-F10,E10)</f>
        <v>9500</v>
      </c>
      <c r="H10" s="105">
        <v>500</v>
      </c>
      <c r="I10" s="6">
        <v>0.86</v>
      </c>
      <c r="J10" s="103">
        <f>IF(H10="--",G10*I10,I10*(G10-H10))</f>
        <v>7740</v>
      </c>
      <c r="K10" s="175" t="s">
        <v>83</v>
      </c>
      <c r="L10" s="106">
        <f>GrossPremLiab!L10</f>
        <v>382.5</v>
      </c>
      <c r="M10" s="103">
        <f>L10+J10</f>
        <v>8122.5</v>
      </c>
      <c r="P10" s="4" t="str">
        <f t="shared" ref="P10:P31" si="11">B10</f>
        <v>Personal Property</v>
      </c>
      <c r="Q10" s="8">
        <v>0.98299999999999998</v>
      </c>
      <c r="R10" s="5">
        <f t="shared" ref="R10:R30" si="12">IFERROR(Q10*M10,0)</f>
        <v>7984.4174999999996</v>
      </c>
      <c r="S10" s="8">
        <v>0.98676128425749543</v>
      </c>
      <c r="T10" s="5">
        <f t="shared" ref="T10:T30" si="13">IF(S10="--", 0,M10*S10)</f>
        <v>8014.9685313815062</v>
      </c>
      <c r="U10" s="5">
        <f t="shared" ref="U10:U30" si="14">T10-R10</f>
        <v>30.551031381506618</v>
      </c>
      <c r="V10" s="6">
        <v>7.0000000000000007E-2</v>
      </c>
      <c r="W10" s="5">
        <f t="shared" ref="W10:W30" si="15">V10*R10</f>
        <v>558.90922499999999</v>
      </c>
      <c r="X10" s="104">
        <f>GrossPremLiab!R10-NetPremLiab!R10</f>
        <v>749.39586322313335</v>
      </c>
      <c r="Y10" s="110">
        <v>0.01</v>
      </c>
      <c r="Z10" s="104">
        <f>Y10*X10</f>
        <v>7.4939586322313332</v>
      </c>
      <c r="AA10" s="5">
        <f>IF(Z10="--",U10+W10,U10+W10+Z10)</f>
        <v>596.95421501373789</v>
      </c>
      <c r="AB10" s="10">
        <f t="shared" ref="AB10:AB30" si="16">R10+AA10</f>
        <v>8581.3717150137381</v>
      </c>
      <c r="AE10" s="4" t="str">
        <f t="shared" ref="AE10:AE31" si="17">P10</f>
        <v>Personal Property</v>
      </c>
      <c r="AF10" s="11">
        <f>GrossMisc!AD30</f>
        <v>0.03</v>
      </c>
      <c r="AG10" s="10">
        <f t="shared" ref="AG10:AG30" si="18">E10*AF10</f>
        <v>300</v>
      </c>
      <c r="AH10" s="7">
        <v>0</v>
      </c>
      <c r="AI10" s="10">
        <f t="shared" ref="AI10:AI30" si="19">E10*AH10</f>
        <v>0</v>
      </c>
      <c r="AJ10" s="10">
        <f t="shared" ref="AJ10:AJ30" si="20">IF(H10="--",AB10+AG10+AI10,AB10+AG10+AI10+H10)</f>
        <v>9381.3717150137381</v>
      </c>
      <c r="AK10" s="10">
        <v>129.07278269172261</v>
      </c>
      <c r="AL10" s="10"/>
      <c r="AM10" s="10"/>
      <c r="AN10" s="10"/>
      <c r="AO10" s="10"/>
      <c r="AP10" s="10"/>
      <c r="AR10" s="1"/>
      <c r="AS10" s="30"/>
      <c r="AT10" s="30"/>
      <c r="AU10" s="28"/>
      <c r="AV10" s="5"/>
    </row>
    <row r="11" spans="1:48" x14ac:dyDescent="0.35">
      <c r="B11" s="4" t="s">
        <v>2</v>
      </c>
      <c r="C11" s="5">
        <f>GrossPremLiab!C11</f>
        <v>0</v>
      </c>
      <c r="D11" s="5">
        <f>GrossPremLiab!D11</f>
        <v>0</v>
      </c>
      <c r="E11" s="5">
        <f t="shared" ref="E11:E30" si="21">C11+D11</f>
        <v>0</v>
      </c>
      <c r="F11" s="5">
        <v>0</v>
      </c>
      <c r="G11" s="5">
        <f t="shared" ref="G11:G30" si="22">IFERROR(E11-F11,E11)</f>
        <v>0</v>
      </c>
      <c r="H11" s="105">
        <f t="shared" ref="H11:H30" si="23">F11</f>
        <v>0</v>
      </c>
      <c r="I11" s="6">
        <v>0</v>
      </c>
      <c r="J11" s="103">
        <f t="shared" ref="J11:J30" si="24">IF(H11="--",G11*I11,I11*(G11-H11))</f>
        <v>0</v>
      </c>
      <c r="K11" s="175" t="s">
        <v>83</v>
      </c>
      <c r="L11" s="106">
        <f>GrossPremLiab!L11</f>
        <v>0</v>
      </c>
      <c r="M11" s="103">
        <f t="shared" ref="M11:M30" si="25">L11+J11</f>
        <v>0</v>
      </c>
      <c r="P11" s="4" t="str">
        <f t="shared" si="11"/>
        <v>Commercial Property</v>
      </c>
      <c r="Q11" s="8" t="s">
        <v>83</v>
      </c>
      <c r="R11" s="5">
        <f t="shared" si="12"/>
        <v>0</v>
      </c>
      <c r="S11" s="8" t="s">
        <v>83</v>
      </c>
      <c r="T11" s="5">
        <f t="shared" si="13"/>
        <v>0</v>
      </c>
      <c r="U11" s="5">
        <f t="shared" si="14"/>
        <v>0</v>
      </c>
      <c r="V11" s="6">
        <v>0</v>
      </c>
      <c r="W11" s="5">
        <f t="shared" si="15"/>
        <v>0</v>
      </c>
      <c r="X11" s="104">
        <f>GrossPremLiab!R11-NetPremLiab!R11</f>
        <v>0</v>
      </c>
      <c r="Y11" s="110">
        <v>0.01</v>
      </c>
      <c r="Z11" s="104">
        <f t="shared" ref="Z11:Z30" si="26">Y11*X11</f>
        <v>0</v>
      </c>
      <c r="AA11" s="5">
        <f t="shared" ref="AA11:AA30" si="27">IF(Z11="--",U11+W11,U11+W11+Z11)</f>
        <v>0</v>
      </c>
      <c r="AB11" s="10">
        <f t="shared" si="16"/>
        <v>0</v>
      </c>
      <c r="AE11" s="4" t="str">
        <f t="shared" si="17"/>
        <v>Commercial Property</v>
      </c>
      <c r="AF11" s="11">
        <f>AF10</f>
        <v>0.03</v>
      </c>
      <c r="AG11" s="10">
        <f t="shared" si="18"/>
        <v>0</v>
      </c>
      <c r="AH11" s="7">
        <v>0</v>
      </c>
      <c r="AI11" s="10">
        <f t="shared" si="19"/>
        <v>0</v>
      </c>
      <c r="AJ11" s="10">
        <f t="shared" si="20"/>
        <v>0</v>
      </c>
      <c r="AK11" s="10">
        <v>0</v>
      </c>
      <c r="AL11" s="10"/>
      <c r="AM11" s="10"/>
      <c r="AN11" s="10"/>
      <c r="AO11" s="10"/>
      <c r="AP11" s="10"/>
      <c r="AR11" s="1"/>
      <c r="AS11" s="30"/>
      <c r="AT11" s="30"/>
      <c r="AV11" s="5"/>
    </row>
    <row r="12" spans="1:48" x14ac:dyDescent="0.35">
      <c r="B12" s="4" t="s">
        <v>3</v>
      </c>
      <c r="C12" s="5">
        <f>GrossPremLiab!C12</f>
        <v>0</v>
      </c>
      <c r="D12" s="5">
        <f>GrossPremLiab!D12</f>
        <v>0</v>
      </c>
      <c r="E12" s="5">
        <f t="shared" si="21"/>
        <v>0</v>
      </c>
      <c r="F12" s="5">
        <v>0</v>
      </c>
      <c r="G12" s="5">
        <f t="shared" si="22"/>
        <v>0</v>
      </c>
      <c r="H12" s="105">
        <f t="shared" si="23"/>
        <v>0</v>
      </c>
      <c r="I12" s="6">
        <v>0</v>
      </c>
      <c r="J12" s="103">
        <f t="shared" si="24"/>
        <v>0</v>
      </c>
      <c r="K12" s="175" t="s">
        <v>83</v>
      </c>
      <c r="L12" s="106">
        <f>GrossPremLiab!L12</f>
        <v>0</v>
      </c>
      <c r="M12" s="103">
        <f t="shared" si="25"/>
        <v>0</v>
      </c>
      <c r="P12" s="4" t="str">
        <f t="shared" si="11"/>
        <v>Aircraft</v>
      </c>
      <c r="Q12" s="8" t="s">
        <v>83</v>
      </c>
      <c r="R12" s="5">
        <f t="shared" si="12"/>
        <v>0</v>
      </c>
      <c r="S12" s="8" t="s">
        <v>83</v>
      </c>
      <c r="T12" s="5">
        <f t="shared" si="13"/>
        <v>0</v>
      </c>
      <c r="U12" s="5">
        <f t="shared" si="14"/>
        <v>0</v>
      </c>
      <c r="V12" s="6">
        <v>0</v>
      </c>
      <c r="W12" s="5">
        <f t="shared" si="15"/>
        <v>0</v>
      </c>
      <c r="X12" s="104">
        <f>GrossPremLiab!R12-NetPremLiab!R12</f>
        <v>0</v>
      </c>
      <c r="Y12" s="110">
        <v>0.01</v>
      </c>
      <c r="Z12" s="104">
        <f t="shared" si="26"/>
        <v>0</v>
      </c>
      <c r="AA12" s="5">
        <f t="shared" si="27"/>
        <v>0</v>
      </c>
      <c r="AB12" s="10">
        <f t="shared" si="16"/>
        <v>0</v>
      </c>
      <c r="AE12" s="4" t="str">
        <f t="shared" si="17"/>
        <v>Aircraft</v>
      </c>
      <c r="AF12" s="11">
        <f t="shared" ref="AF12:AF28" si="28">AF11</f>
        <v>0.03</v>
      </c>
      <c r="AG12" s="10">
        <f t="shared" si="18"/>
        <v>0</v>
      </c>
      <c r="AH12" s="7">
        <v>0</v>
      </c>
      <c r="AI12" s="10">
        <f t="shared" si="19"/>
        <v>0</v>
      </c>
      <c r="AJ12" s="10">
        <f t="shared" si="20"/>
        <v>0</v>
      </c>
      <c r="AK12" s="10">
        <v>0</v>
      </c>
      <c r="AL12" s="10"/>
      <c r="AM12" s="10"/>
      <c r="AN12" s="10"/>
      <c r="AO12" s="10"/>
      <c r="AP12" s="10"/>
      <c r="AR12" s="1"/>
      <c r="AS12" s="30"/>
      <c r="AT12" s="30"/>
      <c r="AV12" s="5"/>
    </row>
    <row r="13" spans="1:48" x14ac:dyDescent="0.35">
      <c r="B13" s="4" t="s">
        <v>25</v>
      </c>
      <c r="C13" s="5">
        <f>GrossPremLiab!C13</f>
        <v>50000</v>
      </c>
      <c r="D13" s="5">
        <f>GrossPremLiab!D13</f>
        <v>0</v>
      </c>
      <c r="E13" s="5">
        <f t="shared" si="21"/>
        <v>50000</v>
      </c>
      <c r="F13" s="5">
        <v>1000</v>
      </c>
      <c r="G13" s="5">
        <f t="shared" si="22"/>
        <v>49000</v>
      </c>
      <c r="H13" s="105">
        <v>3000</v>
      </c>
      <c r="I13" s="6">
        <v>0.98</v>
      </c>
      <c r="J13" s="103">
        <f t="shared" si="24"/>
        <v>45080</v>
      </c>
      <c r="K13" s="175" t="s">
        <v>83</v>
      </c>
      <c r="L13" s="106">
        <f>GrossPremLiab!L13</f>
        <v>2250</v>
      </c>
      <c r="M13" s="103">
        <f t="shared" si="25"/>
        <v>47330</v>
      </c>
      <c r="P13" s="4" t="str">
        <f t="shared" si="11"/>
        <v>Auto - Liability - Regular</v>
      </c>
      <c r="Q13" s="8">
        <v>0.92218559837728198</v>
      </c>
      <c r="R13" s="5">
        <f t="shared" si="12"/>
        <v>43647.044371196753</v>
      </c>
      <c r="S13" s="8">
        <v>0.94319745460939886</v>
      </c>
      <c r="T13" s="5">
        <f t="shared" si="13"/>
        <v>44641.535526662847</v>
      </c>
      <c r="U13" s="5">
        <f t="shared" si="14"/>
        <v>994.49115546609391</v>
      </c>
      <c r="V13" s="6">
        <v>0.11</v>
      </c>
      <c r="W13" s="5">
        <f t="shared" si="15"/>
        <v>4801.1748808316424</v>
      </c>
      <c r="X13" s="104">
        <f>GrossPremLiab!R13-NetPremLiab!R13</f>
        <v>4276.6980223123755</v>
      </c>
      <c r="Y13" s="110">
        <v>0.01</v>
      </c>
      <c r="Z13" s="104">
        <f t="shared" si="26"/>
        <v>42.76698022312376</v>
      </c>
      <c r="AA13" s="5">
        <f t="shared" si="27"/>
        <v>5838.4330165208603</v>
      </c>
      <c r="AB13" s="10">
        <f t="shared" si="16"/>
        <v>49485.477387717612</v>
      </c>
      <c r="AE13" s="4" t="str">
        <f t="shared" si="17"/>
        <v>Auto - Liability - Regular</v>
      </c>
      <c r="AF13" s="11">
        <f t="shared" si="28"/>
        <v>0.03</v>
      </c>
      <c r="AG13" s="10">
        <f t="shared" si="18"/>
        <v>1500</v>
      </c>
      <c r="AH13" s="7">
        <v>0</v>
      </c>
      <c r="AI13" s="10">
        <f t="shared" si="19"/>
        <v>0</v>
      </c>
      <c r="AJ13" s="10">
        <f t="shared" si="20"/>
        <v>53985.477387717612</v>
      </c>
      <c r="AK13" s="10">
        <v>258.14556538344522</v>
      </c>
      <c r="AL13" s="10"/>
      <c r="AM13" s="10"/>
      <c r="AN13" s="10"/>
      <c r="AO13" s="10"/>
      <c r="AP13" s="10"/>
      <c r="AR13" s="1"/>
      <c r="AS13" s="30"/>
      <c r="AT13" s="30"/>
      <c r="AV13" s="5"/>
    </row>
    <row r="14" spans="1:48" x14ac:dyDescent="0.35">
      <c r="B14" s="4" t="s">
        <v>26</v>
      </c>
      <c r="C14" s="5">
        <f>GrossPremLiab!C14</f>
        <v>25000</v>
      </c>
      <c r="D14" s="5">
        <f>GrossPremLiab!D14</f>
        <v>0</v>
      </c>
      <c r="E14" s="5">
        <f t="shared" si="21"/>
        <v>25000</v>
      </c>
      <c r="F14" s="5">
        <v>3000</v>
      </c>
      <c r="G14" s="5">
        <f t="shared" si="22"/>
        <v>22000</v>
      </c>
      <c r="H14" s="105">
        <v>1500</v>
      </c>
      <c r="I14" s="6">
        <v>1.1499999999999999</v>
      </c>
      <c r="J14" s="103">
        <f t="shared" si="24"/>
        <v>23574.999999999996</v>
      </c>
      <c r="K14" s="175" t="s">
        <v>83</v>
      </c>
      <c r="L14" s="106">
        <f>GrossPremLiab!L14</f>
        <v>1350</v>
      </c>
      <c r="M14" s="103">
        <f t="shared" si="25"/>
        <v>24924.999999999996</v>
      </c>
      <c r="P14" s="4" t="str">
        <f t="shared" si="11"/>
        <v>Auto - PA - Regular</v>
      </c>
      <c r="Q14" s="8">
        <v>0.9321551724137932</v>
      </c>
      <c r="R14" s="5">
        <f t="shared" si="12"/>
        <v>23233.967672413793</v>
      </c>
      <c r="S14" s="8">
        <v>0.95317606575556935</v>
      </c>
      <c r="T14" s="5">
        <f t="shared" si="13"/>
        <v>23757.913438957563</v>
      </c>
      <c r="U14" s="5">
        <f t="shared" si="14"/>
        <v>523.94576654376942</v>
      </c>
      <c r="V14" s="6">
        <v>0.1</v>
      </c>
      <c r="W14" s="5">
        <f t="shared" si="15"/>
        <v>2323.3967672413796</v>
      </c>
      <c r="X14" s="104">
        <f>GrossPremLiab!R14-NetPremLiab!R14</f>
        <v>5832.8239097363075</v>
      </c>
      <c r="Y14" s="110">
        <v>0.01</v>
      </c>
      <c r="Z14" s="104">
        <f t="shared" si="26"/>
        <v>58.328239097363074</v>
      </c>
      <c r="AA14" s="5">
        <f t="shared" si="27"/>
        <v>2905.6707728825122</v>
      </c>
      <c r="AB14" s="10">
        <f t="shared" si="16"/>
        <v>26139.638445296307</v>
      </c>
      <c r="AE14" s="4" t="str">
        <f t="shared" si="17"/>
        <v>Auto - PA - Regular</v>
      </c>
      <c r="AF14" s="11">
        <f t="shared" si="28"/>
        <v>0.03</v>
      </c>
      <c r="AG14" s="10">
        <f t="shared" si="18"/>
        <v>750</v>
      </c>
      <c r="AH14" s="7">
        <v>0</v>
      </c>
      <c r="AI14" s="10">
        <f t="shared" si="19"/>
        <v>0</v>
      </c>
      <c r="AJ14" s="10">
        <f t="shared" si="20"/>
        <v>28389.638445296307</v>
      </c>
      <c r="AK14" s="10">
        <v>774.43669615033571</v>
      </c>
      <c r="AL14" s="10"/>
      <c r="AM14" s="10"/>
      <c r="AN14" s="10"/>
      <c r="AO14" s="10"/>
      <c r="AP14" s="10"/>
      <c r="AR14" s="1"/>
      <c r="AS14" s="30"/>
      <c r="AT14" s="30"/>
      <c r="AV14" s="5"/>
    </row>
    <row r="15" spans="1:48" x14ac:dyDescent="0.35">
      <c r="B15" s="4" t="s">
        <v>27</v>
      </c>
      <c r="C15" s="5">
        <f>GrossPremLiab!C15</f>
        <v>30000</v>
      </c>
      <c r="D15" s="5">
        <f>GrossPremLiab!D15</f>
        <v>0</v>
      </c>
      <c r="E15" s="5">
        <f t="shared" si="21"/>
        <v>30000</v>
      </c>
      <c r="F15" s="5">
        <v>500</v>
      </c>
      <c r="G15" s="5">
        <f t="shared" si="22"/>
        <v>29500</v>
      </c>
      <c r="H15" s="105">
        <v>1000</v>
      </c>
      <c r="I15" s="6">
        <v>0.67</v>
      </c>
      <c r="J15" s="103">
        <f t="shared" si="24"/>
        <v>19095</v>
      </c>
      <c r="K15" s="175" t="s">
        <v>83</v>
      </c>
      <c r="L15" s="106">
        <f>GrossPremLiab!L15</f>
        <v>918</v>
      </c>
      <c r="M15" s="103">
        <f t="shared" si="25"/>
        <v>20013</v>
      </c>
      <c r="P15" s="4" t="str">
        <f t="shared" si="11"/>
        <v>Auto - Other - Regular</v>
      </c>
      <c r="Q15" s="8">
        <v>0.9770182555780933</v>
      </c>
      <c r="R15" s="5">
        <f t="shared" si="12"/>
        <v>19553.066348884382</v>
      </c>
      <c r="S15" s="8">
        <v>0.9879979777553084</v>
      </c>
      <c r="T15" s="5">
        <f t="shared" si="13"/>
        <v>19772.803528816989</v>
      </c>
      <c r="U15" s="5">
        <f t="shared" si="14"/>
        <v>219.73717993260652</v>
      </c>
      <c r="V15" s="6">
        <v>7.0000000000000007E-2</v>
      </c>
      <c r="W15" s="5">
        <f t="shared" si="15"/>
        <v>1368.7146444219068</v>
      </c>
      <c r="X15" s="104">
        <f>GrossPremLiab!R15-NetPremLiab!R15</f>
        <v>1275.0088235294097</v>
      </c>
      <c r="Y15" s="110">
        <v>0.01</v>
      </c>
      <c r="Z15" s="104">
        <f t="shared" si="26"/>
        <v>12.750088235294097</v>
      </c>
      <c r="AA15" s="5">
        <f t="shared" si="27"/>
        <v>1601.2019125898073</v>
      </c>
      <c r="AB15" s="10">
        <f t="shared" si="16"/>
        <v>21154.26826147419</v>
      </c>
      <c r="AE15" s="4" t="str">
        <f t="shared" si="17"/>
        <v>Auto - Other - Regular</v>
      </c>
      <c r="AF15" s="11">
        <f t="shared" si="28"/>
        <v>0.03</v>
      </c>
      <c r="AG15" s="10">
        <f t="shared" si="18"/>
        <v>900</v>
      </c>
      <c r="AH15" s="7">
        <v>0</v>
      </c>
      <c r="AI15" s="10">
        <f t="shared" si="19"/>
        <v>0</v>
      </c>
      <c r="AJ15" s="10">
        <f t="shared" si="20"/>
        <v>23054.26826147419</v>
      </c>
      <c r="AK15" s="10">
        <v>129.07278269172261</v>
      </c>
      <c r="AL15" s="10"/>
      <c r="AM15" s="10"/>
      <c r="AN15" s="10"/>
      <c r="AO15" s="10"/>
      <c r="AP15" s="10"/>
      <c r="AR15" s="1"/>
      <c r="AS15" s="30"/>
      <c r="AT15" s="30"/>
      <c r="AV15" s="5"/>
    </row>
    <row r="16" spans="1:48" x14ac:dyDescent="0.35">
      <c r="B16" s="4" t="s">
        <v>45</v>
      </c>
      <c r="C16" s="5">
        <f>GrossPremLiab!C16</f>
        <v>1500</v>
      </c>
      <c r="D16" s="5">
        <f>GrossPremLiab!D16</f>
        <v>0</v>
      </c>
      <c r="E16" s="5">
        <f t="shared" si="21"/>
        <v>1500</v>
      </c>
      <c r="F16" s="5">
        <v>0</v>
      </c>
      <c r="G16" s="5">
        <f t="shared" si="22"/>
        <v>1500</v>
      </c>
      <c r="H16" s="105">
        <f t="shared" si="23"/>
        <v>0</v>
      </c>
      <c r="I16" s="6">
        <f>GrossPremLiab!I16</f>
        <v>0.93333333333333335</v>
      </c>
      <c r="J16" s="103">
        <f t="shared" si="24"/>
        <v>1400</v>
      </c>
      <c r="K16" s="175" t="s">
        <v>83</v>
      </c>
      <c r="L16" s="106">
        <f>GrossPremLiab!L16</f>
        <v>0</v>
      </c>
      <c r="M16" s="103">
        <f t="shared" si="25"/>
        <v>1400</v>
      </c>
      <c r="P16" s="4" t="str">
        <f t="shared" si="11"/>
        <v>Auto - Liability - Facility</v>
      </c>
      <c r="Q16" s="8">
        <f>GrossPremLiab!Q16</f>
        <v>0.9285714285714286</v>
      </c>
      <c r="R16" s="5">
        <f t="shared" si="12"/>
        <v>1300</v>
      </c>
      <c r="S16" s="8">
        <f>GrossPremLiab!S16</f>
        <v>0.9285714285714286</v>
      </c>
      <c r="T16" s="5">
        <f t="shared" si="13"/>
        <v>1300</v>
      </c>
      <c r="U16" s="5">
        <f t="shared" si="14"/>
        <v>0</v>
      </c>
      <c r="V16" s="6">
        <f>GrossPremLiab!V16</f>
        <v>0.15384615384615385</v>
      </c>
      <c r="W16" s="5">
        <f t="shared" si="15"/>
        <v>200</v>
      </c>
      <c r="X16" s="104">
        <f>GrossPremLiab!R16-NetPremLiab!R16</f>
        <v>0</v>
      </c>
      <c r="Y16" s="110">
        <v>0.01</v>
      </c>
      <c r="Z16" s="104">
        <f t="shared" si="26"/>
        <v>0</v>
      </c>
      <c r="AA16" s="5">
        <f t="shared" si="27"/>
        <v>200</v>
      </c>
      <c r="AB16" s="10">
        <f t="shared" si="16"/>
        <v>1500</v>
      </c>
      <c r="AE16" s="4" t="str">
        <f t="shared" si="17"/>
        <v>Auto - Liability - Facility</v>
      </c>
      <c r="AF16" s="11">
        <f t="shared" si="28"/>
        <v>0.03</v>
      </c>
      <c r="AG16" s="10">
        <f t="shared" si="18"/>
        <v>45</v>
      </c>
      <c r="AH16" s="7">
        <v>0</v>
      </c>
      <c r="AI16" s="10">
        <f t="shared" si="19"/>
        <v>0</v>
      </c>
      <c r="AJ16" s="10">
        <f t="shared" si="20"/>
        <v>1545</v>
      </c>
      <c r="AK16" s="10">
        <v>0</v>
      </c>
      <c r="AL16" s="10"/>
      <c r="AM16" s="10"/>
      <c r="AN16" s="10"/>
      <c r="AO16" s="10"/>
      <c r="AP16" s="10"/>
      <c r="AR16" s="1"/>
      <c r="AS16" s="30"/>
      <c r="AT16" s="30"/>
      <c r="AV16" s="5"/>
    </row>
    <row r="17" spans="2:48" x14ac:dyDescent="0.35">
      <c r="B17" s="4" t="s">
        <v>46</v>
      </c>
      <c r="C17" s="5">
        <f>GrossPremLiab!C17</f>
        <v>750</v>
      </c>
      <c r="D17" s="5">
        <f>GrossPremLiab!D17</f>
        <v>0</v>
      </c>
      <c r="E17" s="5">
        <f t="shared" si="21"/>
        <v>750</v>
      </c>
      <c r="F17" s="5">
        <v>0</v>
      </c>
      <c r="G17" s="5">
        <f t="shared" si="22"/>
        <v>750</v>
      </c>
      <c r="H17" s="105">
        <f t="shared" si="23"/>
        <v>0</v>
      </c>
      <c r="I17" s="6">
        <f>I16</f>
        <v>0.93333333333333335</v>
      </c>
      <c r="J17" s="103">
        <f t="shared" si="24"/>
        <v>700</v>
      </c>
      <c r="K17" s="175" t="s">
        <v>83</v>
      </c>
      <c r="L17" s="106">
        <f>GrossPremLiab!L17</f>
        <v>0</v>
      </c>
      <c r="M17" s="103">
        <f t="shared" si="25"/>
        <v>700</v>
      </c>
      <c r="P17" s="4" t="str">
        <f t="shared" si="11"/>
        <v>Auto - PA - Facility</v>
      </c>
      <c r="Q17" s="8">
        <f>GrossPremLiab!Q17</f>
        <v>0.9285714285714286</v>
      </c>
      <c r="R17" s="5">
        <f t="shared" si="12"/>
        <v>650</v>
      </c>
      <c r="S17" s="8">
        <f>GrossPremLiab!S17</f>
        <v>0.9285714285714286</v>
      </c>
      <c r="T17" s="5">
        <f t="shared" si="13"/>
        <v>650</v>
      </c>
      <c r="U17" s="5">
        <f t="shared" si="14"/>
        <v>0</v>
      </c>
      <c r="V17" s="6">
        <f>GrossPremLiab!V17</f>
        <v>0.15384615384615385</v>
      </c>
      <c r="W17" s="5">
        <f t="shared" si="15"/>
        <v>100</v>
      </c>
      <c r="X17" s="104">
        <f>GrossPremLiab!R17-NetPremLiab!R17</f>
        <v>0</v>
      </c>
      <c r="Y17" s="110">
        <v>0.01</v>
      </c>
      <c r="Z17" s="104">
        <f t="shared" si="26"/>
        <v>0</v>
      </c>
      <c r="AA17" s="5">
        <f t="shared" si="27"/>
        <v>100</v>
      </c>
      <c r="AB17" s="10">
        <f t="shared" si="16"/>
        <v>750</v>
      </c>
      <c r="AE17" s="4" t="str">
        <f t="shared" si="17"/>
        <v>Auto - PA - Facility</v>
      </c>
      <c r="AF17" s="11">
        <f t="shared" si="28"/>
        <v>0.03</v>
      </c>
      <c r="AG17" s="10">
        <f t="shared" si="18"/>
        <v>22.5</v>
      </c>
      <c r="AH17" s="7">
        <v>0</v>
      </c>
      <c r="AI17" s="10">
        <f t="shared" si="19"/>
        <v>0</v>
      </c>
      <c r="AJ17" s="10">
        <f t="shared" si="20"/>
        <v>772.5</v>
      </c>
      <c r="AK17" s="10">
        <v>0</v>
      </c>
      <c r="AL17" s="10"/>
      <c r="AM17" s="10"/>
      <c r="AN17" s="10"/>
      <c r="AO17" s="10"/>
      <c r="AP17" s="10"/>
      <c r="AR17" s="1"/>
      <c r="AS17" s="30"/>
      <c r="AT17" s="30"/>
      <c r="AV17" s="5"/>
    </row>
    <row r="18" spans="2:48" x14ac:dyDescent="0.35">
      <c r="B18" s="4" t="s">
        <v>47</v>
      </c>
      <c r="C18" s="5">
        <f>GrossPremLiab!C18</f>
        <v>750</v>
      </c>
      <c r="D18" s="5">
        <f>GrossPremLiab!D18</f>
        <v>0</v>
      </c>
      <c r="E18" s="5">
        <f t="shared" si="21"/>
        <v>750</v>
      </c>
      <c r="F18" s="5">
        <v>0</v>
      </c>
      <c r="G18" s="5">
        <f t="shared" si="22"/>
        <v>750</v>
      </c>
      <c r="H18" s="105">
        <f t="shared" si="23"/>
        <v>0</v>
      </c>
      <c r="I18" s="6">
        <f>I17</f>
        <v>0.93333333333333335</v>
      </c>
      <c r="J18" s="103">
        <f t="shared" si="24"/>
        <v>700</v>
      </c>
      <c r="K18" s="175" t="s">
        <v>83</v>
      </c>
      <c r="L18" s="106">
        <f>GrossPremLiab!L18</f>
        <v>0</v>
      </c>
      <c r="M18" s="103">
        <f t="shared" si="25"/>
        <v>700</v>
      </c>
      <c r="P18" s="4" t="str">
        <f t="shared" si="11"/>
        <v>Auto - Other - Facility</v>
      </c>
      <c r="Q18" s="8">
        <f>GrossPremLiab!Q18</f>
        <v>0.9285714285714286</v>
      </c>
      <c r="R18" s="5">
        <f t="shared" si="12"/>
        <v>650</v>
      </c>
      <c r="S18" s="8">
        <f>GrossPremLiab!S18</f>
        <v>0.9285714285714286</v>
      </c>
      <c r="T18" s="5">
        <f t="shared" si="13"/>
        <v>650</v>
      </c>
      <c r="U18" s="5">
        <f t="shared" si="14"/>
        <v>0</v>
      </c>
      <c r="V18" s="6">
        <f>GrossPremLiab!V18</f>
        <v>0.15384615384615385</v>
      </c>
      <c r="W18" s="5">
        <f t="shared" si="15"/>
        <v>100</v>
      </c>
      <c r="X18" s="104">
        <f>GrossPremLiab!R18-NetPremLiab!R18</f>
        <v>0</v>
      </c>
      <c r="Y18" s="110">
        <v>0.01</v>
      </c>
      <c r="Z18" s="104">
        <f t="shared" si="26"/>
        <v>0</v>
      </c>
      <c r="AA18" s="5">
        <f t="shared" si="27"/>
        <v>100</v>
      </c>
      <c r="AB18" s="10">
        <f t="shared" si="16"/>
        <v>750</v>
      </c>
      <c r="AE18" s="4" t="str">
        <f t="shared" si="17"/>
        <v>Auto - Other - Facility</v>
      </c>
      <c r="AF18" s="11">
        <f t="shared" si="28"/>
        <v>0.03</v>
      </c>
      <c r="AG18" s="10">
        <f t="shared" si="18"/>
        <v>22.5</v>
      </c>
      <c r="AH18" s="7">
        <v>0</v>
      </c>
      <c r="AI18" s="10">
        <f t="shared" si="19"/>
        <v>0</v>
      </c>
      <c r="AJ18" s="10">
        <f t="shared" si="20"/>
        <v>772.5</v>
      </c>
      <c r="AK18" s="10">
        <v>0</v>
      </c>
      <c r="AL18" s="10"/>
      <c r="AM18" s="10"/>
      <c r="AN18" s="10"/>
      <c r="AO18" s="10"/>
      <c r="AP18" s="10"/>
      <c r="AR18" s="1"/>
      <c r="AS18" s="30"/>
      <c r="AT18" s="30"/>
      <c r="AV18" s="5"/>
    </row>
    <row r="19" spans="2:48" x14ac:dyDescent="0.35">
      <c r="B19" s="4" t="s">
        <v>12</v>
      </c>
      <c r="C19" s="5">
        <f>GrossPremLiab!C19</f>
        <v>0</v>
      </c>
      <c r="D19" s="5">
        <f>GrossPremLiab!D19</f>
        <v>0</v>
      </c>
      <c r="E19" s="5">
        <f t="shared" si="21"/>
        <v>0</v>
      </c>
      <c r="F19" s="5">
        <v>0</v>
      </c>
      <c r="G19" s="5">
        <f t="shared" si="22"/>
        <v>0</v>
      </c>
      <c r="H19" s="105">
        <f t="shared" si="23"/>
        <v>0</v>
      </c>
      <c r="I19" s="6">
        <v>0</v>
      </c>
      <c r="J19" s="103">
        <f t="shared" si="24"/>
        <v>0</v>
      </c>
      <c r="K19" s="175" t="s">
        <v>83</v>
      </c>
      <c r="L19" s="106">
        <f>GrossPremLiab!L19</f>
        <v>0</v>
      </c>
      <c r="M19" s="103">
        <f t="shared" si="25"/>
        <v>0</v>
      </c>
      <c r="P19" s="4" t="str">
        <f t="shared" si="11"/>
        <v>Boiler &amp; Machinery</v>
      </c>
      <c r="Q19" s="8" t="s">
        <v>83</v>
      </c>
      <c r="R19" s="5">
        <f t="shared" si="12"/>
        <v>0</v>
      </c>
      <c r="S19" s="8" t="s">
        <v>83</v>
      </c>
      <c r="T19" s="5">
        <f t="shared" si="13"/>
        <v>0</v>
      </c>
      <c r="U19" s="5">
        <f t="shared" si="14"/>
        <v>0</v>
      </c>
      <c r="V19" s="6">
        <v>0</v>
      </c>
      <c r="W19" s="5">
        <f t="shared" si="15"/>
        <v>0</v>
      </c>
      <c r="X19" s="104">
        <f>GrossPremLiab!R19-NetPremLiab!R19</f>
        <v>0</v>
      </c>
      <c r="Y19" s="110">
        <v>0.01</v>
      </c>
      <c r="Z19" s="104">
        <f t="shared" si="26"/>
        <v>0</v>
      </c>
      <c r="AA19" s="5">
        <f t="shared" si="27"/>
        <v>0</v>
      </c>
      <c r="AB19" s="10">
        <f t="shared" si="16"/>
        <v>0</v>
      </c>
      <c r="AE19" s="4" t="str">
        <f t="shared" si="17"/>
        <v>Boiler &amp; Machinery</v>
      </c>
      <c r="AF19" s="11">
        <f t="shared" si="28"/>
        <v>0.03</v>
      </c>
      <c r="AG19" s="10">
        <f t="shared" si="18"/>
        <v>0</v>
      </c>
      <c r="AH19" s="7">
        <v>0</v>
      </c>
      <c r="AI19" s="10">
        <f t="shared" si="19"/>
        <v>0</v>
      </c>
      <c r="AJ19" s="10">
        <f t="shared" si="20"/>
        <v>0</v>
      </c>
      <c r="AK19" s="10">
        <v>0</v>
      </c>
      <c r="AL19" s="10"/>
      <c r="AM19" s="10"/>
      <c r="AN19" s="10"/>
      <c r="AO19" s="10"/>
      <c r="AP19" s="10"/>
      <c r="AR19" s="1"/>
      <c r="AS19" s="30"/>
      <c r="AT19" s="30"/>
      <c r="AV19" s="5"/>
    </row>
    <row r="20" spans="2:48" x14ac:dyDescent="0.35">
      <c r="B20" s="4" t="s">
        <v>4</v>
      </c>
      <c r="C20" s="5">
        <f>GrossPremLiab!C20</f>
        <v>0</v>
      </c>
      <c r="D20" s="5">
        <f>GrossPremLiab!D20</f>
        <v>0</v>
      </c>
      <c r="E20" s="5">
        <f t="shared" si="21"/>
        <v>0</v>
      </c>
      <c r="F20" s="5">
        <v>0</v>
      </c>
      <c r="G20" s="5">
        <f t="shared" si="22"/>
        <v>0</v>
      </c>
      <c r="H20" s="105">
        <f t="shared" si="23"/>
        <v>0</v>
      </c>
      <c r="I20" s="6">
        <v>0</v>
      </c>
      <c r="J20" s="103">
        <f t="shared" si="24"/>
        <v>0</v>
      </c>
      <c r="K20" s="175" t="s">
        <v>83</v>
      </c>
      <c r="L20" s="106">
        <f>GrossPremLiab!L20</f>
        <v>0</v>
      </c>
      <c r="M20" s="103">
        <f t="shared" si="25"/>
        <v>0</v>
      </c>
      <c r="P20" s="4" t="str">
        <f t="shared" si="11"/>
        <v>Credit</v>
      </c>
      <c r="Q20" s="8" t="s">
        <v>83</v>
      </c>
      <c r="R20" s="5">
        <f t="shared" si="12"/>
        <v>0</v>
      </c>
      <c r="S20" s="8" t="s">
        <v>83</v>
      </c>
      <c r="T20" s="5">
        <f t="shared" si="13"/>
        <v>0</v>
      </c>
      <c r="U20" s="5">
        <f t="shared" si="14"/>
        <v>0</v>
      </c>
      <c r="V20" s="6">
        <v>0</v>
      </c>
      <c r="W20" s="5">
        <f t="shared" si="15"/>
        <v>0</v>
      </c>
      <c r="X20" s="104">
        <f>GrossPremLiab!R20-NetPremLiab!R20</f>
        <v>0</v>
      </c>
      <c r="Y20" s="110">
        <v>0.01</v>
      </c>
      <c r="Z20" s="104">
        <f t="shared" si="26"/>
        <v>0</v>
      </c>
      <c r="AA20" s="5">
        <f t="shared" si="27"/>
        <v>0</v>
      </c>
      <c r="AB20" s="10">
        <f t="shared" si="16"/>
        <v>0</v>
      </c>
      <c r="AE20" s="4" t="str">
        <f t="shared" si="17"/>
        <v>Credit</v>
      </c>
      <c r="AF20" s="11">
        <f t="shared" si="28"/>
        <v>0.03</v>
      </c>
      <c r="AG20" s="10">
        <f t="shared" si="18"/>
        <v>0</v>
      </c>
      <c r="AH20" s="7">
        <v>0</v>
      </c>
      <c r="AI20" s="10">
        <f t="shared" si="19"/>
        <v>0</v>
      </c>
      <c r="AJ20" s="10">
        <f t="shared" si="20"/>
        <v>0</v>
      </c>
      <c r="AK20" s="10">
        <v>0</v>
      </c>
      <c r="AL20" s="10"/>
      <c r="AM20" s="10"/>
      <c r="AN20" s="10"/>
      <c r="AO20" s="10"/>
      <c r="AP20" s="10"/>
      <c r="AR20" s="1"/>
      <c r="AS20" s="30"/>
      <c r="AT20" s="30"/>
      <c r="AV20" s="5"/>
    </row>
    <row r="21" spans="2:48" x14ac:dyDescent="0.35">
      <c r="B21" s="4" t="s">
        <v>5</v>
      </c>
      <c r="C21" s="5">
        <f>GrossPremLiab!C21</f>
        <v>0</v>
      </c>
      <c r="D21" s="5">
        <f>GrossPremLiab!D21</f>
        <v>0</v>
      </c>
      <c r="E21" s="5">
        <f t="shared" si="21"/>
        <v>0</v>
      </c>
      <c r="F21" s="5">
        <v>0</v>
      </c>
      <c r="G21" s="5">
        <f t="shared" si="22"/>
        <v>0</v>
      </c>
      <c r="H21" s="105">
        <f t="shared" si="23"/>
        <v>0</v>
      </c>
      <c r="I21" s="6">
        <v>0</v>
      </c>
      <c r="J21" s="103">
        <f t="shared" si="24"/>
        <v>0</v>
      </c>
      <c r="K21" s="175" t="s">
        <v>83</v>
      </c>
      <c r="L21" s="106">
        <f>GrossPremLiab!L21</f>
        <v>0</v>
      </c>
      <c r="M21" s="103">
        <f t="shared" si="25"/>
        <v>0</v>
      </c>
      <c r="P21" s="4" t="str">
        <f t="shared" si="11"/>
        <v>Credit Protection</v>
      </c>
      <c r="Q21" s="8" t="s">
        <v>83</v>
      </c>
      <c r="R21" s="5">
        <f t="shared" si="12"/>
        <v>0</v>
      </c>
      <c r="S21" s="8" t="s">
        <v>83</v>
      </c>
      <c r="T21" s="5">
        <f t="shared" si="13"/>
        <v>0</v>
      </c>
      <c r="U21" s="5">
        <f t="shared" si="14"/>
        <v>0</v>
      </c>
      <c r="V21" s="6">
        <v>0</v>
      </c>
      <c r="W21" s="5">
        <f t="shared" si="15"/>
        <v>0</v>
      </c>
      <c r="X21" s="104">
        <f>GrossPremLiab!R21-NetPremLiab!R21</f>
        <v>0</v>
      </c>
      <c r="Y21" s="110">
        <v>0.01</v>
      </c>
      <c r="Z21" s="104">
        <f t="shared" si="26"/>
        <v>0</v>
      </c>
      <c r="AA21" s="5">
        <f t="shared" si="27"/>
        <v>0</v>
      </c>
      <c r="AB21" s="10">
        <f t="shared" si="16"/>
        <v>0</v>
      </c>
      <c r="AE21" s="4" t="str">
        <f t="shared" si="17"/>
        <v>Credit Protection</v>
      </c>
      <c r="AF21" s="11">
        <f t="shared" si="28"/>
        <v>0.03</v>
      </c>
      <c r="AG21" s="10">
        <f t="shared" si="18"/>
        <v>0</v>
      </c>
      <c r="AH21" s="7">
        <v>0</v>
      </c>
      <c r="AI21" s="10">
        <f t="shared" si="19"/>
        <v>0</v>
      </c>
      <c r="AJ21" s="10">
        <f t="shared" si="20"/>
        <v>0</v>
      </c>
      <c r="AK21" s="10">
        <v>0</v>
      </c>
      <c r="AL21" s="10"/>
      <c r="AM21" s="10"/>
      <c r="AN21" s="10"/>
      <c r="AO21" s="10"/>
      <c r="AP21" s="10"/>
      <c r="AR21" s="1"/>
      <c r="AS21" s="30"/>
      <c r="AT21" s="30"/>
      <c r="AV21" s="5"/>
    </row>
    <row r="22" spans="2:48" x14ac:dyDescent="0.35">
      <c r="B22" s="4" t="s">
        <v>6</v>
      </c>
      <c r="C22" s="5">
        <f>GrossPremLiab!C22</f>
        <v>0</v>
      </c>
      <c r="D22" s="5">
        <f>GrossPremLiab!D22</f>
        <v>0</v>
      </c>
      <c r="E22" s="5">
        <f t="shared" si="21"/>
        <v>0</v>
      </c>
      <c r="F22" s="5">
        <v>0.39748</v>
      </c>
      <c r="G22" s="5">
        <f t="shared" si="22"/>
        <v>-0.39748</v>
      </c>
      <c r="H22" s="105">
        <f t="shared" si="23"/>
        <v>0.39748</v>
      </c>
      <c r="I22" s="6">
        <v>0</v>
      </c>
      <c r="J22" s="103">
        <f t="shared" si="24"/>
        <v>0</v>
      </c>
      <c r="K22" s="175" t="s">
        <v>83</v>
      </c>
      <c r="L22" s="106">
        <f>GrossPremLiab!L22</f>
        <v>0</v>
      </c>
      <c r="M22" s="103">
        <f t="shared" si="25"/>
        <v>0</v>
      </c>
      <c r="P22" s="4" t="str">
        <f t="shared" si="11"/>
        <v>Fidelity</v>
      </c>
      <c r="Q22" s="8" t="s">
        <v>83</v>
      </c>
      <c r="R22" s="5">
        <f t="shared" si="12"/>
        <v>0</v>
      </c>
      <c r="S22" s="8" t="s">
        <v>83</v>
      </c>
      <c r="T22" s="5">
        <f t="shared" si="13"/>
        <v>0</v>
      </c>
      <c r="U22" s="5">
        <f t="shared" si="14"/>
        <v>0</v>
      </c>
      <c r="V22" s="6">
        <v>0</v>
      </c>
      <c r="W22" s="5">
        <f t="shared" si="15"/>
        <v>0</v>
      </c>
      <c r="X22" s="104">
        <f>GrossPremLiab!R22-NetPremLiab!R22</f>
        <v>0</v>
      </c>
      <c r="Y22" s="110">
        <v>0.01</v>
      </c>
      <c r="Z22" s="104">
        <f t="shared" si="26"/>
        <v>0</v>
      </c>
      <c r="AA22" s="5">
        <f t="shared" si="27"/>
        <v>0</v>
      </c>
      <c r="AB22" s="10">
        <f t="shared" si="16"/>
        <v>0</v>
      </c>
      <c r="AE22" s="4" t="str">
        <f t="shared" si="17"/>
        <v>Fidelity</v>
      </c>
      <c r="AF22" s="11">
        <f t="shared" si="28"/>
        <v>0.03</v>
      </c>
      <c r="AG22" s="10">
        <f t="shared" si="18"/>
        <v>0</v>
      </c>
      <c r="AH22" s="7">
        <v>0</v>
      </c>
      <c r="AI22" s="10">
        <f t="shared" si="19"/>
        <v>0</v>
      </c>
      <c r="AJ22" s="10">
        <f t="shared" si="20"/>
        <v>0.39748</v>
      </c>
      <c r="AK22" s="10">
        <v>0.10260769932861181</v>
      </c>
      <c r="AL22" s="10"/>
      <c r="AM22" s="10"/>
      <c r="AN22" s="10"/>
      <c r="AO22" s="10"/>
      <c r="AP22" s="10"/>
      <c r="AR22" s="1"/>
      <c r="AS22" s="30"/>
      <c r="AT22" s="30"/>
      <c r="AV22" s="5"/>
    </row>
    <row r="23" spans="2:48" x14ac:dyDescent="0.35">
      <c r="B23" s="4" t="s">
        <v>7</v>
      </c>
      <c r="C23" s="5">
        <f>GrossPremLiab!C23</f>
        <v>0</v>
      </c>
      <c r="D23" s="5">
        <f>GrossPremLiab!D23</f>
        <v>0</v>
      </c>
      <c r="E23" s="5">
        <f t="shared" si="21"/>
        <v>0</v>
      </c>
      <c r="F23" s="5">
        <v>0</v>
      </c>
      <c r="G23" s="5">
        <f t="shared" si="22"/>
        <v>0</v>
      </c>
      <c r="H23" s="105">
        <f t="shared" si="23"/>
        <v>0</v>
      </c>
      <c r="I23" s="6">
        <v>0</v>
      </c>
      <c r="J23" s="103">
        <f t="shared" si="24"/>
        <v>0</v>
      </c>
      <c r="K23" s="175" t="s">
        <v>83</v>
      </c>
      <c r="L23" s="106">
        <f>GrossPremLiab!L23</f>
        <v>0</v>
      </c>
      <c r="M23" s="103">
        <f t="shared" si="25"/>
        <v>0</v>
      </c>
      <c r="P23" s="4" t="str">
        <f t="shared" si="11"/>
        <v>Hail</v>
      </c>
      <c r="Q23" s="8" t="s">
        <v>83</v>
      </c>
      <c r="R23" s="5">
        <f t="shared" si="12"/>
        <v>0</v>
      </c>
      <c r="S23" s="8" t="s">
        <v>83</v>
      </c>
      <c r="T23" s="5">
        <f t="shared" si="13"/>
        <v>0</v>
      </c>
      <c r="U23" s="5">
        <f t="shared" si="14"/>
        <v>0</v>
      </c>
      <c r="V23" s="6">
        <v>0</v>
      </c>
      <c r="W23" s="5">
        <f t="shared" si="15"/>
        <v>0</v>
      </c>
      <c r="X23" s="104">
        <f>GrossPremLiab!R23-NetPremLiab!R23</f>
        <v>0</v>
      </c>
      <c r="Y23" s="110">
        <v>0.01</v>
      </c>
      <c r="Z23" s="104">
        <f t="shared" si="26"/>
        <v>0</v>
      </c>
      <c r="AA23" s="5">
        <f t="shared" si="27"/>
        <v>0</v>
      </c>
      <c r="AB23" s="10">
        <f t="shared" si="16"/>
        <v>0</v>
      </c>
      <c r="AE23" s="4" t="str">
        <f t="shared" si="17"/>
        <v>Hail</v>
      </c>
      <c r="AF23" s="11">
        <f t="shared" si="28"/>
        <v>0.03</v>
      </c>
      <c r="AG23" s="10">
        <f t="shared" si="18"/>
        <v>0</v>
      </c>
      <c r="AH23" s="7">
        <v>0</v>
      </c>
      <c r="AI23" s="10">
        <f t="shared" si="19"/>
        <v>0</v>
      </c>
      <c r="AJ23" s="10">
        <f t="shared" si="20"/>
        <v>0</v>
      </c>
      <c r="AK23" s="10">
        <v>0</v>
      </c>
      <c r="AL23" s="10"/>
      <c r="AM23" s="10"/>
      <c r="AN23" s="10"/>
      <c r="AO23" s="10"/>
      <c r="AP23" s="10"/>
      <c r="AR23" s="1"/>
      <c r="AS23" s="30"/>
      <c r="AT23" s="30"/>
      <c r="AV23" s="5"/>
    </row>
    <row r="24" spans="2:48" x14ac:dyDescent="0.35">
      <c r="B24" s="4" t="s">
        <v>8</v>
      </c>
      <c r="C24" s="5">
        <f>GrossPremLiab!C24</f>
        <v>0</v>
      </c>
      <c r="D24" s="5">
        <f>GrossPremLiab!D24</f>
        <v>0</v>
      </c>
      <c r="E24" s="5">
        <f t="shared" si="21"/>
        <v>0</v>
      </c>
      <c r="F24" s="5">
        <v>0</v>
      </c>
      <c r="G24" s="5">
        <f t="shared" si="22"/>
        <v>0</v>
      </c>
      <c r="H24" s="105">
        <f t="shared" si="23"/>
        <v>0</v>
      </c>
      <c r="I24" s="6">
        <v>0</v>
      </c>
      <c r="J24" s="103">
        <f t="shared" si="24"/>
        <v>0</v>
      </c>
      <c r="K24" s="175" t="s">
        <v>83</v>
      </c>
      <c r="L24" s="106">
        <f>GrossPremLiab!L24</f>
        <v>0</v>
      </c>
      <c r="M24" s="103">
        <f t="shared" si="25"/>
        <v>0</v>
      </c>
      <c r="P24" s="4" t="str">
        <f t="shared" si="11"/>
        <v>Legal Expense</v>
      </c>
      <c r="Q24" s="8" t="s">
        <v>83</v>
      </c>
      <c r="R24" s="5">
        <f t="shared" si="12"/>
        <v>0</v>
      </c>
      <c r="S24" s="8" t="s">
        <v>83</v>
      </c>
      <c r="T24" s="5">
        <f t="shared" si="13"/>
        <v>0</v>
      </c>
      <c r="U24" s="5">
        <f t="shared" si="14"/>
        <v>0</v>
      </c>
      <c r="V24" s="6">
        <v>0</v>
      </c>
      <c r="W24" s="5">
        <f t="shared" si="15"/>
        <v>0</v>
      </c>
      <c r="X24" s="104">
        <f>GrossPremLiab!R24-NetPremLiab!R24</f>
        <v>0</v>
      </c>
      <c r="Y24" s="110">
        <v>0.01</v>
      </c>
      <c r="Z24" s="104">
        <f t="shared" si="26"/>
        <v>0</v>
      </c>
      <c r="AA24" s="5">
        <f t="shared" si="27"/>
        <v>0</v>
      </c>
      <c r="AB24" s="10">
        <f t="shared" si="16"/>
        <v>0</v>
      </c>
      <c r="AE24" s="4" t="str">
        <f t="shared" si="17"/>
        <v>Legal Expense</v>
      </c>
      <c r="AF24" s="11">
        <f t="shared" si="28"/>
        <v>0.03</v>
      </c>
      <c r="AG24" s="10">
        <f t="shared" si="18"/>
        <v>0</v>
      </c>
      <c r="AH24" s="7">
        <v>0</v>
      </c>
      <c r="AI24" s="10">
        <f t="shared" si="19"/>
        <v>0</v>
      </c>
      <c r="AJ24" s="10">
        <f t="shared" si="20"/>
        <v>0</v>
      </c>
      <c r="AK24" s="10">
        <v>0</v>
      </c>
      <c r="AL24" s="10"/>
      <c r="AM24" s="10"/>
      <c r="AN24" s="10"/>
      <c r="AO24" s="10"/>
      <c r="AP24" s="10"/>
      <c r="AR24" s="1"/>
      <c r="AS24" s="30"/>
      <c r="AT24" s="30"/>
      <c r="AV24" s="5"/>
    </row>
    <row r="25" spans="2:48" x14ac:dyDescent="0.35">
      <c r="B25" s="4" t="s">
        <v>40</v>
      </c>
      <c r="C25" s="5">
        <f>GrossPremLiab!C25</f>
        <v>0</v>
      </c>
      <c r="D25" s="5">
        <f>GrossPremLiab!D25</f>
        <v>5000</v>
      </c>
      <c r="E25" s="5">
        <f t="shared" si="21"/>
        <v>5000</v>
      </c>
      <c r="F25" s="5">
        <v>1000</v>
      </c>
      <c r="G25" s="5">
        <f t="shared" si="22"/>
        <v>4000</v>
      </c>
      <c r="H25" s="105">
        <v>250</v>
      </c>
      <c r="I25" s="6">
        <v>0.73</v>
      </c>
      <c r="J25" s="103">
        <f t="shared" si="24"/>
        <v>2737.5</v>
      </c>
      <c r="K25" s="175" t="s">
        <v>83</v>
      </c>
      <c r="L25" s="106">
        <f>GrossPremLiab!L25</f>
        <v>168.75</v>
      </c>
      <c r="M25" s="103">
        <f t="shared" si="25"/>
        <v>2906.25</v>
      </c>
      <c r="P25" s="4" t="str">
        <f t="shared" si="11"/>
        <v>Liability - Total</v>
      </c>
      <c r="Q25" s="8">
        <v>0.93713995943204864</v>
      </c>
      <c r="R25" s="5">
        <f t="shared" si="12"/>
        <v>2723.5630070993911</v>
      </c>
      <c r="S25" s="8">
        <v>0.9533115076654004</v>
      </c>
      <c r="T25" s="5">
        <f t="shared" si="13"/>
        <v>2770.56156915257</v>
      </c>
      <c r="U25" s="5">
        <f t="shared" si="14"/>
        <v>46.99856205317883</v>
      </c>
      <c r="V25" s="6">
        <v>0.1</v>
      </c>
      <c r="W25" s="5">
        <f t="shared" si="15"/>
        <v>272.35630070993915</v>
      </c>
      <c r="X25" s="104">
        <f>GrossPremLiab!R25-NetPremLiab!R25</f>
        <v>890.25180654158248</v>
      </c>
      <c r="Y25" s="110">
        <v>0.01</v>
      </c>
      <c r="Z25" s="104">
        <f t="shared" si="26"/>
        <v>8.9025180654158245</v>
      </c>
      <c r="AA25" s="5">
        <f t="shared" si="27"/>
        <v>328.25738082853383</v>
      </c>
      <c r="AB25" s="10">
        <f t="shared" si="16"/>
        <v>3051.8203879279249</v>
      </c>
      <c r="AE25" s="4" t="str">
        <f t="shared" si="17"/>
        <v>Liability - Total</v>
      </c>
      <c r="AF25" s="11">
        <f t="shared" si="28"/>
        <v>0.03</v>
      </c>
      <c r="AG25" s="10">
        <f t="shared" si="18"/>
        <v>150</v>
      </c>
      <c r="AH25" s="7">
        <v>0</v>
      </c>
      <c r="AI25" s="10">
        <f t="shared" si="19"/>
        <v>0</v>
      </c>
      <c r="AJ25" s="10">
        <f t="shared" si="20"/>
        <v>3451.8203879279249</v>
      </c>
      <c r="AK25" s="10">
        <v>258.14556538344522</v>
      </c>
      <c r="AL25" s="10"/>
      <c r="AM25" s="10"/>
      <c r="AN25" s="10"/>
      <c r="AO25" s="10"/>
      <c r="AP25" s="10"/>
      <c r="AR25" s="1"/>
      <c r="AS25" s="30"/>
      <c r="AT25" s="30"/>
      <c r="AV25" s="5"/>
    </row>
    <row r="26" spans="2:48" x14ac:dyDescent="0.35">
      <c r="B26" s="4" t="s">
        <v>160</v>
      </c>
      <c r="C26" s="5">
        <f>GrossPremLiab!C26</f>
        <v>0</v>
      </c>
      <c r="D26" s="5">
        <f>GrossPremLiab!D26</f>
        <v>0</v>
      </c>
      <c r="E26" s="5">
        <f t="shared" ref="E26" si="29">C26+D26</f>
        <v>0</v>
      </c>
      <c r="F26" s="104">
        <v>0</v>
      </c>
      <c r="G26" s="5">
        <f t="shared" ref="G26" si="30">IFERROR(E26-F26,E26)</f>
        <v>0</v>
      </c>
      <c r="H26" s="105">
        <f t="shared" ref="H26" si="31">F26</f>
        <v>0</v>
      </c>
      <c r="I26" s="6">
        <v>0</v>
      </c>
      <c r="J26" s="103">
        <f t="shared" si="24"/>
        <v>0</v>
      </c>
      <c r="K26" s="175" t="s">
        <v>83</v>
      </c>
      <c r="L26" s="106">
        <f>GrossPremLiab!L26</f>
        <v>0</v>
      </c>
      <c r="M26" s="103">
        <f t="shared" si="25"/>
        <v>0</v>
      </c>
      <c r="P26" s="4" t="str">
        <f t="shared" ref="P26" si="32">B26</f>
        <v>Other Approved Products</v>
      </c>
      <c r="Q26" s="8" t="s">
        <v>83</v>
      </c>
      <c r="R26" s="5">
        <f t="shared" ref="R26" si="33">IFERROR(Q26*M26,0)</f>
        <v>0</v>
      </c>
      <c r="S26" s="8" t="s">
        <v>83</v>
      </c>
      <c r="T26" s="5">
        <f t="shared" ref="T26" si="34">IF(S26="--", 0,M26*S26)</f>
        <v>0</v>
      </c>
      <c r="U26" s="5">
        <f t="shared" ref="U26" si="35">T26-R26</f>
        <v>0</v>
      </c>
      <c r="V26" s="6">
        <v>0</v>
      </c>
      <c r="W26" s="5">
        <f t="shared" ref="W26" si="36">V26*R26</f>
        <v>0</v>
      </c>
      <c r="X26" s="104">
        <f>GrossPremLiab!R26-NetPremLiab!R26</f>
        <v>0</v>
      </c>
      <c r="Y26" s="110">
        <v>0.01</v>
      </c>
      <c r="Z26" s="104">
        <f t="shared" ref="Z26" si="37">Y26*X26</f>
        <v>0</v>
      </c>
      <c r="AA26" s="5">
        <f t="shared" ref="AA26" si="38">IF(Z26="--",U26+W26,U26+W26+Z26)</f>
        <v>0</v>
      </c>
      <c r="AB26" s="10">
        <f t="shared" ref="AB26" si="39">R26+AA26</f>
        <v>0</v>
      </c>
      <c r="AE26" s="4" t="str">
        <f t="shared" ref="AE26" si="40">P26</f>
        <v>Other Approved Products</v>
      </c>
      <c r="AF26" s="11">
        <f>AF24</f>
        <v>0.03</v>
      </c>
      <c r="AG26" s="10">
        <f t="shared" si="18"/>
        <v>0</v>
      </c>
      <c r="AH26" s="7">
        <v>0</v>
      </c>
      <c r="AI26" s="10">
        <f t="shared" ref="AI26" si="41">E26*AH26</f>
        <v>0</v>
      </c>
      <c r="AJ26" s="10">
        <f t="shared" si="20"/>
        <v>0</v>
      </c>
      <c r="AK26" s="10">
        <v>0</v>
      </c>
      <c r="AL26" s="10"/>
      <c r="AM26" s="10"/>
      <c r="AN26" s="10"/>
      <c r="AO26" s="10"/>
      <c r="AP26" s="10"/>
      <c r="AR26" s="1"/>
      <c r="AS26" s="30"/>
      <c r="AT26" s="30"/>
      <c r="AV26" s="5"/>
    </row>
    <row r="27" spans="2:48" x14ac:dyDescent="0.35">
      <c r="B27" s="4" t="s">
        <v>13</v>
      </c>
      <c r="C27" s="5">
        <f>GrossPremLiab!C27</f>
        <v>0</v>
      </c>
      <c r="D27" s="5">
        <f>GrossPremLiab!D27</f>
        <v>0</v>
      </c>
      <c r="E27" s="5">
        <f t="shared" si="21"/>
        <v>0</v>
      </c>
      <c r="F27" s="104">
        <v>0</v>
      </c>
      <c r="G27" s="5">
        <f t="shared" si="22"/>
        <v>0</v>
      </c>
      <c r="H27" s="105">
        <f t="shared" si="23"/>
        <v>0</v>
      </c>
      <c r="I27" s="6">
        <v>0</v>
      </c>
      <c r="J27" s="103">
        <f t="shared" si="24"/>
        <v>0</v>
      </c>
      <c r="K27" s="175" t="s">
        <v>83</v>
      </c>
      <c r="L27" s="106">
        <f>GrossPremLiab!L27</f>
        <v>0</v>
      </c>
      <c r="M27" s="103">
        <f t="shared" si="25"/>
        <v>0</v>
      </c>
      <c r="P27" s="4" t="str">
        <f t="shared" si="11"/>
        <v>Surety - Total</v>
      </c>
      <c r="Q27" s="8" t="s">
        <v>83</v>
      </c>
      <c r="R27" s="5">
        <f t="shared" si="12"/>
        <v>0</v>
      </c>
      <c r="S27" s="8" t="s">
        <v>83</v>
      </c>
      <c r="T27" s="5">
        <f t="shared" si="13"/>
        <v>0</v>
      </c>
      <c r="U27" s="5">
        <f t="shared" si="14"/>
        <v>0</v>
      </c>
      <c r="V27" s="6">
        <v>0</v>
      </c>
      <c r="W27" s="5">
        <f t="shared" si="15"/>
        <v>0</v>
      </c>
      <c r="X27" s="104">
        <f>GrossPremLiab!R27-NetPremLiab!R27</f>
        <v>0</v>
      </c>
      <c r="Y27" s="110">
        <v>0.01</v>
      </c>
      <c r="Z27" s="104">
        <f t="shared" si="26"/>
        <v>0</v>
      </c>
      <c r="AA27" s="5">
        <f t="shared" si="27"/>
        <v>0</v>
      </c>
      <c r="AB27" s="10">
        <f t="shared" si="16"/>
        <v>0</v>
      </c>
      <c r="AE27" s="4" t="str">
        <f t="shared" si="17"/>
        <v>Surety - Total</v>
      </c>
      <c r="AF27" s="11">
        <f>AF25</f>
        <v>0.03</v>
      </c>
      <c r="AG27" s="10">
        <f t="shared" si="18"/>
        <v>0</v>
      </c>
      <c r="AH27" s="7">
        <v>0</v>
      </c>
      <c r="AI27" s="10">
        <f t="shared" si="19"/>
        <v>0</v>
      </c>
      <c r="AJ27" s="10">
        <f t="shared" si="20"/>
        <v>0</v>
      </c>
      <c r="AK27" s="10">
        <v>0</v>
      </c>
      <c r="AL27" s="10"/>
      <c r="AM27" s="10"/>
      <c r="AN27" s="10"/>
      <c r="AO27" s="10"/>
      <c r="AP27" s="10"/>
      <c r="AR27" s="1"/>
      <c r="AS27" s="30"/>
      <c r="AT27" s="30"/>
      <c r="AV27" s="5"/>
    </row>
    <row r="28" spans="2:48" x14ac:dyDescent="0.35">
      <c r="B28" s="4" t="s">
        <v>9</v>
      </c>
      <c r="C28" s="5">
        <f>GrossPremLiab!C28</f>
        <v>0</v>
      </c>
      <c r="D28" s="5">
        <f>GrossPremLiab!D28</f>
        <v>0</v>
      </c>
      <c r="E28" s="5">
        <f t="shared" si="21"/>
        <v>0</v>
      </c>
      <c r="F28" s="104">
        <v>0</v>
      </c>
      <c r="G28" s="5">
        <f t="shared" si="22"/>
        <v>0</v>
      </c>
      <c r="H28" s="105">
        <f t="shared" si="23"/>
        <v>0</v>
      </c>
      <c r="I28" s="6">
        <v>0</v>
      </c>
      <c r="J28" s="103">
        <f t="shared" si="24"/>
        <v>0</v>
      </c>
      <c r="K28" s="175" t="s">
        <v>83</v>
      </c>
      <c r="L28" s="106">
        <f>GrossPremLiab!L28</f>
        <v>0</v>
      </c>
      <c r="M28" s="103">
        <f t="shared" si="25"/>
        <v>0</v>
      </c>
      <c r="P28" s="4" t="str">
        <f t="shared" si="11"/>
        <v>Title</v>
      </c>
      <c r="Q28" s="8" t="s">
        <v>83</v>
      </c>
      <c r="R28" s="5">
        <f t="shared" si="12"/>
        <v>0</v>
      </c>
      <c r="S28" s="8" t="s">
        <v>83</v>
      </c>
      <c r="T28" s="5">
        <f t="shared" si="13"/>
        <v>0</v>
      </c>
      <c r="U28" s="5">
        <f t="shared" si="14"/>
        <v>0</v>
      </c>
      <c r="V28" s="6">
        <v>0</v>
      </c>
      <c r="W28" s="5">
        <f t="shared" si="15"/>
        <v>0</v>
      </c>
      <c r="X28" s="104">
        <f>GrossPremLiab!R28-NetPremLiab!R28</f>
        <v>0</v>
      </c>
      <c r="Y28" s="110">
        <v>0.01</v>
      </c>
      <c r="Z28" s="104">
        <f t="shared" si="26"/>
        <v>0</v>
      </c>
      <c r="AA28" s="5">
        <f t="shared" si="27"/>
        <v>0</v>
      </c>
      <c r="AB28" s="10">
        <f t="shared" si="16"/>
        <v>0</v>
      </c>
      <c r="AE28" s="4" t="str">
        <f t="shared" si="17"/>
        <v>Title</v>
      </c>
      <c r="AF28" s="11">
        <f t="shared" si="28"/>
        <v>0.03</v>
      </c>
      <c r="AG28" s="10">
        <f t="shared" si="18"/>
        <v>0</v>
      </c>
      <c r="AH28" s="7">
        <v>0</v>
      </c>
      <c r="AI28" s="10">
        <f t="shared" si="19"/>
        <v>0</v>
      </c>
      <c r="AJ28" s="10">
        <f t="shared" si="20"/>
        <v>0</v>
      </c>
      <c r="AK28" s="10">
        <v>0</v>
      </c>
      <c r="AL28" s="10"/>
      <c r="AM28" s="10"/>
      <c r="AN28" s="10"/>
      <c r="AO28" s="10"/>
      <c r="AP28" s="10"/>
      <c r="AR28" s="1"/>
      <c r="AS28" s="30"/>
      <c r="AT28" s="30"/>
      <c r="AV28" s="5"/>
    </row>
    <row r="29" spans="2:48" x14ac:dyDescent="0.35">
      <c r="B29" s="4" t="s">
        <v>10</v>
      </c>
      <c r="C29" s="5">
        <f>GrossPremLiab!C29</f>
        <v>0</v>
      </c>
      <c r="D29" s="5">
        <f>GrossPremLiab!D29</f>
        <v>0</v>
      </c>
      <c r="E29" s="5">
        <f t="shared" ref="E29" si="42">C29+D29</f>
        <v>0</v>
      </c>
      <c r="F29" s="104">
        <v>0</v>
      </c>
      <c r="G29" s="5">
        <f t="shared" ref="G29" si="43">IFERROR(E29-F29,E29)</f>
        <v>0</v>
      </c>
      <c r="H29" s="105">
        <f t="shared" ref="H29" si="44">F29</f>
        <v>0</v>
      </c>
      <c r="I29" s="6">
        <v>0</v>
      </c>
      <c r="J29" s="103">
        <f t="shared" si="24"/>
        <v>0</v>
      </c>
      <c r="K29" s="175" t="s">
        <v>83</v>
      </c>
      <c r="L29" s="106">
        <f>GrossPremLiab!L29</f>
        <v>0</v>
      </c>
      <c r="M29" s="103">
        <f t="shared" si="25"/>
        <v>0</v>
      </c>
      <c r="P29" s="4" t="str">
        <f t="shared" ref="P29" si="45">B29</f>
        <v>Marine</v>
      </c>
      <c r="Q29" s="8" t="s">
        <v>83</v>
      </c>
      <c r="R29" s="5">
        <f t="shared" si="12"/>
        <v>0</v>
      </c>
      <c r="S29" s="8" t="s">
        <v>83</v>
      </c>
      <c r="T29" s="5">
        <f t="shared" si="13"/>
        <v>0</v>
      </c>
      <c r="U29" s="5">
        <f t="shared" si="14"/>
        <v>0</v>
      </c>
      <c r="V29" s="6">
        <v>0</v>
      </c>
      <c r="W29" s="5">
        <f t="shared" si="15"/>
        <v>0</v>
      </c>
      <c r="X29" s="104">
        <f>GrossPremLiab!R29-NetPremLiab!R29</f>
        <v>0</v>
      </c>
      <c r="Y29" s="110">
        <v>0.01</v>
      </c>
      <c r="Z29" s="104">
        <f t="shared" ref="Z29" si="46">Y29*X29</f>
        <v>0</v>
      </c>
      <c r="AA29" s="5">
        <f t="shared" ref="AA29" si="47">IF(Z29="--",U29+W29,U29+W29+Z29)</f>
        <v>0</v>
      </c>
      <c r="AB29" s="10">
        <f t="shared" si="16"/>
        <v>0</v>
      </c>
      <c r="AE29" s="4" t="str">
        <f t="shared" si="17"/>
        <v>Marine</v>
      </c>
      <c r="AF29" s="11">
        <f>AF27</f>
        <v>0.03</v>
      </c>
      <c r="AG29" s="10">
        <f t="shared" si="18"/>
        <v>0</v>
      </c>
      <c r="AH29" s="7">
        <v>0</v>
      </c>
      <c r="AI29" s="10">
        <f t="shared" si="19"/>
        <v>0</v>
      </c>
      <c r="AJ29" s="10">
        <f t="shared" si="20"/>
        <v>0</v>
      </c>
      <c r="AK29" s="10">
        <v>0</v>
      </c>
      <c r="AL29" s="10"/>
      <c r="AM29" s="10"/>
      <c r="AN29" s="10"/>
      <c r="AO29" s="10"/>
      <c r="AP29" s="10"/>
      <c r="AR29" s="1"/>
      <c r="AS29" s="30"/>
      <c r="AT29" s="30"/>
      <c r="AV29" s="5"/>
    </row>
    <row r="30" spans="2:48" x14ac:dyDescent="0.35">
      <c r="B30" s="4" t="s">
        <v>116</v>
      </c>
      <c r="C30" s="5">
        <f>GrossPremLiab!C30</f>
        <v>0</v>
      </c>
      <c r="D30" s="5">
        <f>GrossPremLiab!D30</f>
        <v>0</v>
      </c>
      <c r="E30" s="5">
        <f t="shared" si="21"/>
        <v>0</v>
      </c>
      <c r="F30" s="104">
        <v>0</v>
      </c>
      <c r="G30" s="5">
        <f t="shared" si="22"/>
        <v>0</v>
      </c>
      <c r="H30" s="105">
        <f t="shared" si="23"/>
        <v>0</v>
      </c>
      <c r="I30" s="6">
        <v>0</v>
      </c>
      <c r="J30" s="103">
        <f t="shared" si="24"/>
        <v>0</v>
      </c>
      <c r="K30" s="175" t="s">
        <v>83</v>
      </c>
      <c r="L30" s="106">
        <f>GrossPremLiab!L30</f>
        <v>0</v>
      </c>
      <c r="M30" s="103">
        <f t="shared" si="25"/>
        <v>0</v>
      </c>
      <c r="P30" s="4" t="str">
        <f t="shared" si="11"/>
        <v>Accident &amp; Sickness</v>
      </c>
      <c r="Q30" s="8" t="s">
        <v>83</v>
      </c>
      <c r="R30" s="5">
        <f t="shared" si="12"/>
        <v>0</v>
      </c>
      <c r="S30" s="8" t="s">
        <v>83</v>
      </c>
      <c r="T30" s="5">
        <f t="shared" si="13"/>
        <v>0</v>
      </c>
      <c r="U30" s="5">
        <f t="shared" si="14"/>
        <v>0</v>
      </c>
      <c r="V30" s="6">
        <v>0</v>
      </c>
      <c r="W30" s="5">
        <f t="shared" si="15"/>
        <v>0</v>
      </c>
      <c r="X30" s="104">
        <f>GrossPremLiab!R30-NetPremLiab!R30</f>
        <v>0</v>
      </c>
      <c r="Y30" s="110">
        <v>0.01</v>
      </c>
      <c r="Z30" s="104">
        <f t="shared" si="26"/>
        <v>0</v>
      </c>
      <c r="AA30" s="5">
        <f t="shared" si="27"/>
        <v>0</v>
      </c>
      <c r="AB30" s="10">
        <f t="shared" si="16"/>
        <v>0</v>
      </c>
      <c r="AE30" s="4" t="str">
        <f t="shared" si="17"/>
        <v>Accident &amp; Sickness</v>
      </c>
      <c r="AF30" s="11">
        <f>AF28</f>
        <v>0.03</v>
      </c>
      <c r="AG30" s="10">
        <f t="shared" si="18"/>
        <v>0</v>
      </c>
      <c r="AH30" s="7">
        <v>0</v>
      </c>
      <c r="AI30" s="10">
        <f t="shared" si="19"/>
        <v>0</v>
      </c>
      <c r="AJ30" s="10">
        <f t="shared" si="20"/>
        <v>0</v>
      </c>
      <c r="AK30" s="10">
        <v>0</v>
      </c>
      <c r="AL30" s="10"/>
      <c r="AM30" s="10"/>
      <c r="AN30" s="10"/>
      <c r="AO30" s="10"/>
      <c r="AP30" s="10"/>
      <c r="AR30" s="1"/>
      <c r="AS30" s="30"/>
      <c r="AT30" s="30"/>
      <c r="AV30" s="5"/>
    </row>
    <row r="31" spans="2:48" s="108" customFormat="1" x14ac:dyDescent="0.35">
      <c r="B31" s="15" t="s">
        <v>0</v>
      </c>
      <c r="C31" s="16">
        <f t="shared" ref="C31:H31" si="48">SUM(C10:C30)</f>
        <v>118000</v>
      </c>
      <c r="D31" s="16">
        <f t="shared" si="48"/>
        <v>5000</v>
      </c>
      <c r="E31" s="16">
        <f t="shared" si="48"/>
        <v>123000</v>
      </c>
      <c r="F31" s="16">
        <f t="shared" si="48"/>
        <v>6000.3974799999996</v>
      </c>
      <c r="G31" s="16">
        <f t="shared" si="48"/>
        <v>116999.60252</v>
      </c>
      <c r="H31" s="16">
        <f t="shared" si="48"/>
        <v>6250.3974799999996</v>
      </c>
      <c r="I31" s="17">
        <f>SUMPRODUCT(I10:I30, $E10:$E30)/E31</f>
        <v>0.91788617886178858</v>
      </c>
      <c r="J31" s="18">
        <f>SUM(J10:J30)</f>
        <v>101027.5</v>
      </c>
      <c r="K31" s="176" t="s">
        <v>83</v>
      </c>
      <c r="L31" s="18">
        <f>SUM(L10:L30)</f>
        <v>5069.25</v>
      </c>
      <c r="M31" s="18">
        <f>SUM(M10:M30)</f>
        <v>106096.75</v>
      </c>
      <c r="P31" s="15" t="str">
        <f t="shared" si="11"/>
        <v>Total</v>
      </c>
      <c r="Q31" s="35">
        <f>R31/M31</f>
        <v>0.94010475249802017</v>
      </c>
      <c r="R31" s="18">
        <f>SUM(R10:R30)</f>
        <v>99742.058899594325</v>
      </c>
      <c r="S31" s="35">
        <f>T31/M31</f>
        <v>0.95721860089938171</v>
      </c>
      <c r="T31" s="16">
        <f>SUM(T10:T30)</f>
        <v>101557.78259497148</v>
      </c>
      <c r="U31" s="16">
        <f>SUM(U10:U30)</f>
        <v>1815.7236953771553</v>
      </c>
      <c r="V31" s="37">
        <f>W31/R31</f>
        <v>9.7497003024512655E-2</v>
      </c>
      <c r="W31" s="16">
        <f>SUM(W10:W30)</f>
        <v>9724.5518182048672</v>
      </c>
      <c r="X31" s="16">
        <f>SUM(X10:X30)</f>
        <v>13024.178425342809</v>
      </c>
      <c r="Y31" s="37">
        <f>Z31/X31</f>
        <v>0.01</v>
      </c>
      <c r="Z31" s="16">
        <f>SUM(Z10:Z30)</f>
        <v>130.24178425342808</v>
      </c>
      <c r="AA31" s="16">
        <f>SUM(AA10:AA30)</f>
        <v>11670.517297835453</v>
      </c>
      <c r="AB31" s="18">
        <f>SUM(AB10:AB30)</f>
        <v>111412.57619742978</v>
      </c>
      <c r="AE31" s="15" t="str">
        <f t="shared" si="17"/>
        <v>Total</v>
      </c>
      <c r="AF31" s="38">
        <f>AG31/E31</f>
        <v>0.03</v>
      </c>
      <c r="AG31" s="18">
        <f>SUM(AG10:AG30)</f>
        <v>3690</v>
      </c>
      <c r="AH31" s="38">
        <f>AI31/E31</f>
        <v>0</v>
      </c>
      <c r="AI31" s="18">
        <f>SUM(AI10:AI30)</f>
        <v>0</v>
      </c>
      <c r="AJ31" s="20">
        <f>SUM(AJ10:AJ30)</f>
        <v>121352.97367742978</v>
      </c>
      <c r="AK31" s="18">
        <f>SUM(AK10:AK30)</f>
        <v>1548.9759999999999</v>
      </c>
      <c r="AL31" s="18">
        <f>IF(AK31="--",G31-AJ31,G31-AJ31+AK31)</f>
        <v>-2804.395157429778</v>
      </c>
      <c r="AM31" s="18">
        <f>MAX(AL31,0)</f>
        <v>0</v>
      </c>
      <c r="AN31" s="18">
        <f>GrossPremLiab!AN31</f>
        <v>20000</v>
      </c>
      <c r="AO31" s="18">
        <f>MIN(AM31,AN31)</f>
        <v>0</v>
      </c>
      <c r="AP31" s="20">
        <f>IF(AL31&lt;0,-AL31,0)</f>
        <v>2804.395157429778</v>
      </c>
      <c r="AQ31"/>
      <c r="AR31" s="1"/>
      <c r="AS31" s="30"/>
      <c r="AT31" s="109"/>
      <c r="AU31" s="29"/>
    </row>
    <row r="32" spans="2:48" x14ac:dyDescent="0.35">
      <c r="AR32" s="1"/>
      <c r="AS32" s="30"/>
    </row>
    <row r="33" spans="2:47" x14ac:dyDescent="0.35">
      <c r="AR33" s="1"/>
      <c r="AS33" s="30"/>
    </row>
    <row r="34" spans="2:47" x14ac:dyDescent="0.35">
      <c r="AR34" s="1"/>
      <c r="AS34" s="30"/>
    </row>
    <row r="35" spans="2:47" x14ac:dyDescent="0.35">
      <c r="AR35" s="1"/>
      <c r="AS35" s="30"/>
    </row>
    <row r="36" spans="2:47" s="12" customFormat="1" x14ac:dyDescent="0.35">
      <c r="B36" s="169" t="s">
        <v>241</v>
      </c>
      <c r="H36" s="169" t="s">
        <v>139</v>
      </c>
      <c r="K36" s="67"/>
      <c r="L36" s="67"/>
      <c r="P36" s="169" t="s">
        <v>150</v>
      </c>
      <c r="U36" s="169" t="s">
        <v>232</v>
      </c>
      <c r="AB36" s="171"/>
      <c r="AE36" s="169" t="s">
        <v>231</v>
      </c>
      <c r="AL36" s="12" t="str">
        <f>GrossPremLiab!AL36</f>
        <v>(31) = max [ (30) , 0 ]</v>
      </c>
      <c r="AR36" s="1"/>
      <c r="AS36" s="30"/>
      <c r="AU36" s="172"/>
    </row>
    <row r="37" spans="2:47" s="12" customFormat="1" x14ac:dyDescent="0.35">
      <c r="B37" s="169" t="s">
        <v>242</v>
      </c>
      <c r="H37" s="12" t="s">
        <v>240</v>
      </c>
      <c r="K37" s="67"/>
      <c r="L37" s="67"/>
      <c r="P37" s="12" t="str">
        <f>GrossPremLiab!P37</f>
        <v>(13) = (11) x (12)</v>
      </c>
      <c r="U37" s="12" t="s">
        <v>153</v>
      </c>
      <c r="AB37" s="171"/>
      <c r="AE37" s="169" t="s">
        <v>216</v>
      </c>
      <c r="AL37" s="12" t="s">
        <v>220</v>
      </c>
      <c r="AR37" s="1"/>
      <c r="AS37" s="30"/>
      <c r="AU37" s="172"/>
    </row>
    <row r="38" spans="2:47" s="12" customFormat="1" x14ac:dyDescent="0.35">
      <c r="B38" s="169" t="s">
        <v>209</v>
      </c>
      <c r="H38" s="169" t="s">
        <v>191</v>
      </c>
      <c r="K38" s="67"/>
      <c r="L38" s="67"/>
      <c r="P38" s="169" t="s">
        <v>152</v>
      </c>
      <c r="U38" s="12" t="s">
        <v>154</v>
      </c>
      <c r="AB38" s="171"/>
      <c r="AE38" s="169" t="s">
        <v>217</v>
      </c>
      <c r="AL38" s="12" t="s">
        <v>222</v>
      </c>
      <c r="AR38" s="1"/>
      <c r="AS38" s="30"/>
      <c r="AU38" s="172"/>
    </row>
    <row r="39" spans="2:47" s="12" customFormat="1" x14ac:dyDescent="0.35">
      <c r="B39" s="12" t="s">
        <v>210</v>
      </c>
      <c r="K39" s="67"/>
      <c r="L39" s="67"/>
      <c r="P39" s="12" t="str">
        <f>GrossPremLiab!P39</f>
        <v>(15) = (11) x (14)</v>
      </c>
      <c r="U39" s="12" t="s">
        <v>221</v>
      </c>
      <c r="AB39" s="171"/>
      <c r="AE39" s="169" t="s">
        <v>218</v>
      </c>
      <c r="AL39" s="12" t="s">
        <v>223</v>
      </c>
      <c r="AR39" s="1"/>
      <c r="AS39" s="30"/>
      <c r="AU39" s="172"/>
    </row>
    <row r="40" spans="2:47" s="12" customFormat="1" x14ac:dyDescent="0.35">
      <c r="B40" s="169" t="s">
        <v>185</v>
      </c>
      <c r="K40" s="67"/>
      <c r="L40" s="67"/>
      <c r="P40" s="12" t="str">
        <f>GrossPremLiab!P40</f>
        <v>(16) = (15)  -  (13)</v>
      </c>
      <c r="U40" s="12" t="str">
        <f>GrossPremLiab!U40</f>
        <v>(23) = (13) + (22)</v>
      </c>
      <c r="AB40" s="171"/>
      <c r="AE40" s="169" t="s">
        <v>219</v>
      </c>
      <c r="AU40" s="172"/>
    </row>
    <row r="41" spans="2:47" s="12" customFormat="1" x14ac:dyDescent="0.35">
      <c r="B41" s="169" t="s">
        <v>211</v>
      </c>
      <c r="K41" s="67"/>
      <c r="L41" s="67"/>
      <c r="P41" s="169" t="s">
        <v>168</v>
      </c>
      <c r="AB41" s="171"/>
      <c r="AE41" s="12" t="s">
        <v>182</v>
      </c>
      <c r="AU41" s="172"/>
    </row>
    <row r="42" spans="2:47" s="12" customFormat="1" x14ac:dyDescent="0.35">
      <c r="B42" s="169" t="s">
        <v>187</v>
      </c>
      <c r="K42" s="67"/>
      <c r="L42" s="67"/>
      <c r="P42" s="12" t="str">
        <f>GrossPremLiab!P42</f>
        <v>(18) = (13) x (17)</v>
      </c>
      <c r="AB42" s="171"/>
      <c r="AE42" s="169" t="s">
        <v>175</v>
      </c>
      <c r="AI42" s="39"/>
      <c r="AU42" s="172"/>
    </row>
    <row r="43" spans="2:47" x14ac:dyDescent="0.35">
      <c r="B43" s="169" t="s">
        <v>189</v>
      </c>
      <c r="P43" s="140" t="s">
        <v>1</v>
      </c>
      <c r="U43" s="140" t="s">
        <v>1</v>
      </c>
      <c r="AI43" s="39" t="s">
        <v>1</v>
      </c>
    </row>
  </sheetData>
  <customSheetViews>
    <customSheetView guid="{020FDF89-1AED-46D2-96B6-2FF201CB5CDD}" showPageBreaks="1" printArea="1" view="pageBreakPreview">
      <selection activeCell="AP9" sqref="AP9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1"/>
    </customSheetView>
    <customSheetView guid="{1A2B400A-4A27-4699-A7C5-54ECA3456E42}" showPageBreaks="1" printArea="1" view="pageBreakPreview" topLeftCell="AB19">
      <selection activeCell="B37" sqref="B37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2"/>
    </customSheetView>
    <customSheetView guid="{1E3D3DC7-1899-4018-BCDC-6919FAD5C5D1}" showPageBreaks="1" printArea="1" view="pageBreakPreview">
      <selection activeCell="AP9" sqref="AP9"/>
      <colBreaks count="2" manualBreakCount="2">
        <brk id="14" max="41" man="1"/>
        <brk id="29" max="41" man="1"/>
      </colBreaks>
      <pageMargins left="0.39370078740157483" right="0.39370078740157483" top="0.59055118110236227" bottom="0.19685039370078741" header="0.31496062992125984" footer="0.31496062992125984"/>
      <printOptions horizontalCentered="1"/>
      <pageSetup scale="62" fitToWidth="3" orientation="landscape" r:id="rId3"/>
    </customSheetView>
  </customSheetViews>
  <printOptions horizontalCentered="1"/>
  <pageMargins left="0.39370078740157483" right="0.39370078740157483" top="0.59055118110236227" bottom="0.19685039370078741" header="0.31496062992125984" footer="0.31496062992125984"/>
  <pageSetup scale="62" fitToWidth="3" orientation="landscape" r:id="rId4"/>
  <colBreaks count="2" manualBreakCount="2">
    <brk id="14" max="41" man="1"/>
    <brk id="29" max="41" man="1"/>
  </colBreaks>
  <ignoredErrors>
    <ignoredError sqref="I31" formula="1"/>
  </ignoredErrors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2:F32"/>
  <sheetViews>
    <sheetView tabSelected="1" view="pageBreakPreview" zoomScale="75" zoomScaleNormal="75" zoomScaleSheetLayoutView="75" workbookViewId="0">
      <selection activeCell="C6" sqref="C6"/>
    </sheetView>
  </sheetViews>
  <sheetFormatPr defaultColWidth="9.1796875" defaultRowHeight="18.5" x14ac:dyDescent="0.45"/>
  <cols>
    <col min="1" max="1" width="9.1796875" style="84"/>
    <col min="2" max="2" width="5.7265625" style="84" customWidth="1"/>
    <col min="3" max="3" width="105.453125" style="84" customWidth="1"/>
    <col min="4" max="5" width="12.7265625" style="84" customWidth="1"/>
    <col min="6" max="6" width="5.7265625" style="84" customWidth="1"/>
    <col min="7" max="7" width="9" style="84" customWidth="1"/>
    <col min="8" max="13" width="9.1796875" style="84"/>
    <col min="14" max="14" width="5.7265625" style="84" customWidth="1"/>
    <col min="15" max="16384" width="9.1796875" style="84"/>
  </cols>
  <sheetData>
    <row r="2" spans="3:6" x14ac:dyDescent="0.45">
      <c r="F2" s="111" t="s">
        <v>118</v>
      </c>
    </row>
    <row r="3" spans="3:6" ht="26" x14ac:dyDescent="0.6">
      <c r="C3" s="187" t="s">
        <v>183</v>
      </c>
      <c r="D3" s="187"/>
      <c r="E3" s="187"/>
      <c r="F3" s="111"/>
    </row>
    <row r="4" spans="3:6" ht="26" x14ac:dyDescent="0.6">
      <c r="C4" s="187" t="s">
        <v>89</v>
      </c>
      <c r="D4" s="187"/>
      <c r="E4" s="187"/>
    </row>
    <row r="6" spans="3:6" ht="19" thickBot="1" x14ac:dyDescent="0.5"/>
    <row r="7" spans="3:6" ht="93" thickBot="1" x14ac:dyDescent="0.5">
      <c r="C7" s="85" t="s">
        <v>14</v>
      </c>
      <c r="D7" s="86" t="s">
        <v>15</v>
      </c>
      <c r="E7" s="87" t="s">
        <v>16</v>
      </c>
    </row>
    <row r="8" spans="3:6" x14ac:dyDescent="0.45">
      <c r="C8" s="88" t="s">
        <v>17</v>
      </c>
      <c r="D8" s="89"/>
      <c r="E8" s="90">
        <f>GrossPremLiab!AJ31</f>
        <v>129540.17825590631</v>
      </c>
      <c r="F8" s="91" t="s">
        <v>1</v>
      </c>
    </row>
    <row r="9" spans="3:6" x14ac:dyDescent="0.45">
      <c r="C9" s="92" t="s">
        <v>18</v>
      </c>
      <c r="D9" s="93"/>
      <c r="E9" s="94">
        <f>NetPremLiab!AJ31</f>
        <v>121352.97367742978</v>
      </c>
    </row>
    <row r="10" spans="3:6" x14ac:dyDescent="0.45">
      <c r="C10" s="92" t="s">
        <v>19</v>
      </c>
      <c r="D10" s="95">
        <f>GrossPremLiab!E31</f>
        <v>123000</v>
      </c>
      <c r="E10" s="96"/>
    </row>
    <row r="11" spans="3:6" x14ac:dyDescent="0.45">
      <c r="C11" s="92" t="s">
        <v>20</v>
      </c>
      <c r="D11" s="95">
        <f>NetPremLiab!G31</f>
        <v>116999.60252</v>
      </c>
      <c r="E11" s="96"/>
    </row>
    <row r="12" spans="3:6" x14ac:dyDescent="0.45">
      <c r="C12" s="92" t="s">
        <v>21</v>
      </c>
      <c r="D12" s="95">
        <f>E12</f>
        <v>2804.395157429778</v>
      </c>
      <c r="E12" s="94">
        <f>NetPremLiab!AP31</f>
        <v>2804.395157429778</v>
      </c>
    </row>
    <row r="13" spans="3:6" x14ac:dyDescent="0.45">
      <c r="C13" s="92" t="s">
        <v>22</v>
      </c>
      <c r="D13" s="95">
        <v>0</v>
      </c>
      <c r="E13" s="94">
        <v>0</v>
      </c>
    </row>
    <row r="14" spans="3:6" x14ac:dyDescent="0.45">
      <c r="C14" s="92" t="s">
        <v>23</v>
      </c>
      <c r="D14" s="159">
        <f>NetPremLiab!AO31</f>
        <v>0</v>
      </c>
      <c r="E14" s="96"/>
    </row>
    <row r="15" spans="3:6" ht="20.5" x14ac:dyDescent="0.55000000000000004">
      <c r="C15" s="92" t="s">
        <v>88</v>
      </c>
      <c r="D15" s="93"/>
      <c r="E15" s="97">
        <f>D11+D16+E12-E9</f>
        <v>0</v>
      </c>
      <c r="F15" s="98" t="s">
        <v>1</v>
      </c>
    </row>
    <row r="16" spans="3:6" ht="19" thickBot="1" x14ac:dyDescent="0.5">
      <c r="C16" s="99" t="s">
        <v>24</v>
      </c>
      <c r="D16" s="100">
        <f>NetPremLiab!AK31</f>
        <v>1548.9759999999999</v>
      </c>
      <c r="E16" s="101"/>
    </row>
    <row r="18" spans="3:3" x14ac:dyDescent="0.45">
      <c r="C18" s="102" t="s">
        <v>81</v>
      </c>
    </row>
    <row r="21" spans="3:3" x14ac:dyDescent="0.45">
      <c r="C21" s="84" t="s">
        <v>1</v>
      </c>
    </row>
    <row r="24" spans="3:3" x14ac:dyDescent="0.45">
      <c r="C24" s="150" t="s">
        <v>233</v>
      </c>
    </row>
    <row r="25" spans="3:3" x14ac:dyDescent="0.45">
      <c r="C25" s="150" t="s">
        <v>234</v>
      </c>
    </row>
    <row r="26" spans="3:3" x14ac:dyDescent="0.45">
      <c r="C26" s="150" t="s">
        <v>235</v>
      </c>
    </row>
    <row r="27" spans="3:3" x14ac:dyDescent="0.45">
      <c r="C27" s="150" t="s">
        <v>236</v>
      </c>
    </row>
    <row r="28" spans="3:3" x14ac:dyDescent="0.45">
      <c r="C28" s="150" t="s">
        <v>237</v>
      </c>
    </row>
    <row r="29" spans="3:3" x14ac:dyDescent="0.45">
      <c r="C29" s="150" t="s">
        <v>115</v>
      </c>
    </row>
    <row r="30" spans="3:3" x14ac:dyDescent="0.45">
      <c r="C30" s="150" t="s">
        <v>238</v>
      </c>
    </row>
    <row r="31" spans="3:3" x14ac:dyDescent="0.45">
      <c r="C31" s="150" t="s">
        <v>239</v>
      </c>
    </row>
    <row r="32" spans="3:3" x14ac:dyDescent="0.45">
      <c r="C32" s="150" t="s">
        <v>1</v>
      </c>
    </row>
  </sheetData>
  <customSheetViews>
    <customSheetView guid="{020FDF89-1AED-46D2-96B6-2FF201CB5CDD}" scale="75" showPageBreaks="1" fitToPage="1" printArea="1" view="pageBreakPreview">
      <selection activeCell="C6" sqref="C6"/>
      <pageMargins left="0.70866141732283472" right="0.70866141732283472" top="0.74803149606299213" bottom="0.74803149606299213" header="0.31496062992125984" footer="0.31496062992125984"/>
      <pageSetup scale="69" orientation="landscape" r:id="rId1"/>
    </customSheetView>
    <customSheetView guid="{1A2B400A-4A27-4699-A7C5-54ECA3456E42}" scale="75" showPageBreaks="1" fitToPage="1" printArea="1" view="pageBreakPreview">
      <selection activeCell="C33" sqref="C33"/>
      <pageMargins left="0.70866141732283472" right="0.70866141732283472" top="0.74803149606299213" bottom="0.74803149606299213" header="0.31496062992125984" footer="0.31496062992125984"/>
      <pageSetup scale="71" orientation="landscape" r:id="rId2"/>
    </customSheetView>
    <customSheetView guid="{1E3D3DC7-1899-4018-BCDC-6919FAD5C5D1}" scale="75" showPageBreaks="1" fitToPage="1" printArea="1" view="pageBreakPreview">
      <selection activeCell="D22" sqref="D22"/>
      <pageMargins left="0.70866141732283472" right="0.70866141732283472" top="0.74803149606299213" bottom="0.74803149606299213" header="0.31496062992125984" footer="0.31496062992125984"/>
      <pageSetup scale="71" orientation="landscape" r:id="rId3"/>
    </customSheetView>
  </customSheetViews>
  <mergeCells count="2">
    <mergeCell ref="C4:E4"/>
    <mergeCell ref="C3:E3"/>
  </mergeCells>
  <pageMargins left="0.70866141732283472" right="0.70866141732283472" top="0.74803149606299213" bottom="0.74803149606299213" header="0.31496062992125984" footer="0.31496062992125984"/>
  <pageSetup scale="6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GrossPremLiab</vt:lpstr>
      <vt:lpstr>GrossMisc</vt:lpstr>
      <vt:lpstr>NetPremLiab</vt:lpstr>
      <vt:lpstr>Opinion</vt:lpstr>
      <vt:lpstr>GrossMisc!Print_Area</vt:lpstr>
      <vt:lpstr>GrossPremLiab!Print_Area</vt:lpstr>
      <vt:lpstr>NetPremLiab!Print_Area</vt:lpstr>
      <vt:lpstr>Opinion!Print_Area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AnnaMarie Beaton</dc:creator>
  <cp:lastModifiedBy>Diane Bradley</cp:lastModifiedBy>
  <cp:lastPrinted>2016-04-29T19:39:14Z</cp:lastPrinted>
  <dcterms:created xsi:type="dcterms:W3CDTF">2015-10-16T15:39:54Z</dcterms:created>
  <dcterms:modified xsi:type="dcterms:W3CDTF">2018-10-14T20:05:58Z</dcterms:modified>
</cp:coreProperties>
</file>