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ppnk295\Documents\My Documents\PCFRC\Discounting\2020-11\"/>
    </mc:Choice>
  </mc:AlternateContent>
  <xr:revisionPtr revIDLastSave="0" documentId="13_ncr:1_{4A536C6E-9A23-4923-9D33-1A56FABBB45A}" xr6:coauthVersionLast="45" xr6:coauthVersionMax="45" xr10:uidLastSave="{00000000-0000-0000-0000-000000000000}"/>
  <bookViews>
    <workbookView xWindow="-120" yWindow="-16320" windowWidth="29040" windowHeight="15840" xr2:uid="{6EEF7A63-DF5C-4A53-85B2-2F0A8B0BED80}"/>
  </bookViews>
  <sheets>
    <sheet name="Parameters" sheetId="3" r:id="rId1"/>
    <sheet name="1-Payment Pattern" sheetId="1" r:id="rId2"/>
    <sheet name="2-Current Curve" sheetId="21" r:id="rId3"/>
    <sheet name="3-Current" sheetId="4" r:id="rId4"/>
    <sheet name="4-Locked" sheetId="18" r:id="rId5"/>
    <sheet name="5-Summary" sheetId="11" r:id="rId6"/>
    <sheet name="6-Income Statement Calculations" sheetId="19" r:id="rId7"/>
    <sheet name="7-Financial Statements" sheetId="17" r:id="rId8"/>
  </sheets>
  <externalReferences>
    <externalReference r:id="rId9"/>
  </externalReferences>
  <definedNames>
    <definedName name="CompanyName" localSheetId="2">[1]Parameters!$B$2</definedName>
    <definedName name="CompanyName">Parameters!$B$2</definedName>
    <definedName name="Method">'6-Income Statement Calculations'!$R$6</definedName>
    <definedName name="PaymentPattern" localSheetId="2">'[1]1-Payment Pattern'!$A$12:$C$26</definedName>
    <definedName name="PaymentPattern">'1-Payment Pattern'!$A$12:$C$26</definedName>
    <definedName name="_xlnm.Print_Area" localSheetId="1">'1-Payment Pattern'!$A$1:$T$45</definedName>
    <definedName name="_xlnm.Print_Area" localSheetId="2">'2-Current Curve'!$A$1:$M$251,'2-Current Curve'!$O$1:$Z$38,'2-Current Curve'!$AB$1:$AJ$38</definedName>
    <definedName name="_xlnm.Print_Area" localSheetId="3">'3-Current'!$A$1:$M$70</definedName>
    <definedName name="_xlnm.Print_Area" localSheetId="4">'4-Locked'!$A$1:$M$75</definedName>
    <definedName name="_xlnm.Print_Area" localSheetId="5">'5-Summary'!$A$1:$J$40</definedName>
    <definedName name="_xlnm.Print_Area" localSheetId="6">'6-Income Statement Calculations'!$A$1:$O$63</definedName>
    <definedName name="_xlnm.Print_Area" localSheetId="7">'7-Financial Statements'!$A$1:$H$78</definedName>
    <definedName name="ValDate" localSheetId="2">[1]Parameters!$B$4</definedName>
    <definedName name="ValDate">Parameters!$B$4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3" i="19" l="1"/>
  <c r="N22" i="19"/>
  <c r="N21" i="19"/>
  <c r="N20" i="19"/>
  <c r="N19" i="19"/>
  <c r="N18" i="19"/>
  <c r="N17" i="19"/>
  <c r="N16" i="19"/>
  <c r="N15" i="19"/>
  <c r="N14" i="19"/>
  <c r="H47" i="4"/>
  <c r="G47" i="4"/>
  <c r="C47" i="4" a="1"/>
  <c r="F47" i="4" s="1"/>
  <c r="H244" i="21"/>
  <c r="G244" i="21"/>
  <c r="F244" i="21"/>
  <c r="E244" i="21"/>
  <c r="D244" i="21"/>
  <c r="H243" i="21"/>
  <c r="G243" i="21"/>
  <c r="F243" i="21"/>
  <c r="E243" i="21"/>
  <c r="D243" i="21"/>
  <c r="H242" i="21"/>
  <c r="G242" i="21"/>
  <c r="F242" i="21"/>
  <c r="E242" i="21"/>
  <c r="D242" i="21"/>
  <c r="C242" i="21"/>
  <c r="H241" i="21"/>
  <c r="G241" i="21"/>
  <c r="F241" i="21"/>
  <c r="E241" i="21"/>
  <c r="D241" i="21"/>
  <c r="H240" i="21"/>
  <c r="G240" i="21"/>
  <c r="F240" i="21"/>
  <c r="E240" i="21"/>
  <c r="D240" i="21"/>
  <c r="H239" i="21"/>
  <c r="G239" i="21"/>
  <c r="F239" i="21"/>
  <c r="E239" i="21"/>
  <c r="D239" i="21"/>
  <c r="H238" i="21"/>
  <c r="G238" i="21"/>
  <c r="F238" i="21"/>
  <c r="E238" i="21"/>
  <c r="D238" i="21"/>
  <c r="H237" i="21"/>
  <c r="G237" i="21"/>
  <c r="F237" i="21"/>
  <c r="E237" i="21"/>
  <c r="D237" i="21"/>
  <c r="H236" i="21"/>
  <c r="G236" i="21"/>
  <c r="F236" i="21"/>
  <c r="E236" i="21"/>
  <c r="D236" i="21"/>
  <c r="B236" i="21"/>
  <c r="B237" i="21" s="1"/>
  <c r="B238" i="21" s="1"/>
  <c r="B239" i="21" s="1"/>
  <c r="B240" i="21" s="1"/>
  <c r="B241" i="21" s="1"/>
  <c r="B242" i="21" s="1"/>
  <c r="B243" i="21" s="1"/>
  <c r="B244" i="21" s="1"/>
  <c r="H235" i="21"/>
  <c r="G235" i="21"/>
  <c r="F235" i="21"/>
  <c r="E235" i="21"/>
  <c r="D235" i="21"/>
  <c r="E207" i="21"/>
  <c r="I189" i="21"/>
  <c r="D189" i="21"/>
  <c r="D190" i="21" s="1"/>
  <c r="C189" i="21"/>
  <c r="C190" i="21" s="1"/>
  <c r="B188" i="21"/>
  <c r="B189" i="21" s="1"/>
  <c r="B190" i="21" s="1"/>
  <c r="B191" i="21" s="1"/>
  <c r="B192" i="21" s="1"/>
  <c r="B193" i="21" s="1"/>
  <c r="B194" i="21" s="1"/>
  <c r="B195" i="21" s="1"/>
  <c r="B196" i="21" s="1"/>
  <c r="B197" i="21" s="1"/>
  <c r="B198" i="21" s="1"/>
  <c r="B199" i="21" s="1"/>
  <c r="B200" i="21" s="1"/>
  <c r="B201" i="21" s="1"/>
  <c r="B202" i="21" s="1"/>
  <c r="B203" i="21" s="1"/>
  <c r="B204" i="21" s="1"/>
  <c r="B205" i="21" s="1"/>
  <c r="B206" i="21" s="1"/>
  <c r="B207" i="21" s="1"/>
  <c r="I180" i="21"/>
  <c r="C180" i="21"/>
  <c r="C244" i="21" s="1"/>
  <c r="C179" i="21"/>
  <c r="I179" i="21" s="1"/>
  <c r="Q21" i="21" s="1"/>
  <c r="S21" i="21" s="1"/>
  <c r="I178" i="21"/>
  <c r="C178" i="21"/>
  <c r="C177" i="21"/>
  <c r="C241" i="21" s="1"/>
  <c r="I176" i="21"/>
  <c r="C176" i="21"/>
  <c r="C240" i="21" s="1"/>
  <c r="C175" i="21"/>
  <c r="C239" i="21" s="1"/>
  <c r="I174" i="21"/>
  <c r="C174" i="21"/>
  <c r="C238" i="21" s="1"/>
  <c r="C173" i="21"/>
  <c r="I173" i="21" s="1"/>
  <c r="Q15" i="21" s="1"/>
  <c r="S15" i="21" s="1"/>
  <c r="I172" i="21"/>
  <c r="C172" i="21"/>
  <c r="C236" i="21" s="1"/>
  <c r="B172" i="21"/>
  <c r="B173" i="21" s="1"/>
  <c r="B174" i="21" s="1"/>
  <c r="B175" i="21" s="1"/>
  <c r="B176" i="21" s="1"/>
  <c r="B177" i="21" s="1"/>
  <c r="B178" i="21" s="1"/>
  <c r="B179" i="21" s="1"/>
  <c r="B180" i="21" s="1"/>
  <c r="C171" i="21"/>
  <c r="I171" i="21" s="1"/>
  <c r="Q13" i="21" s="1"/>
  <c r="S13" i="21" s="1"/>
  <c r="A150" i="21"/>
  <c r="A151" i="21" s="1"/>
  <c r="A152" i="21" s="1"/>
  <c r="A153" i="21" s="1"/>
  <c r="A154" i="21" s="1"/>
  <c r="A155" i="21" s="1"/>
  <c r="A156" i="21" s="1"/>
  <c r="A157" i="21" s="1"/>
  <c r="A158" i="21" s="1"/>
  <c r="H135" i="21"/>
  <c r="H158" i="21" s="1"/>
  <c r="G135" i="21"/>
  <c r="G158" i="21" s="1"/>
  <c r="F135" i="21"/>
  <c r="F158" i="21" s="1"/>
  <c r="E135" i="21"/>
  <c r="E158" i="21" s="1"/>
  <c r="D135" i="21"/>
  <c r="D158" i="21" s="1"/>
  <c r="C135" i="21"/>
  <c r="C158" i="21" s="1"/>
  <c r="H134" i="21"/>
  <c r="H157" i="21" s="1"/>
  <c r="G134" i="21"/>
  <c r="G157" i="21" s="1"/>
  <c r="F134" i="21"/>
  <c r="F157" i="21" s="1"/>
  <c r="E134" i="21"/>
  <c r="E157" i="21" s="1"/>
  <c r="D134" i="21"/>
  <c r="D157" i="21" s="1"/>
  <c r="C134" i="21"/>
  <c r="C157" i="21" s="1"/>
  <c r="H133" i="21"/>
  <c r="H156" i="21" s="1"/>
  <c r="G133" i="21"/>
  <c r="G156" i="21" s="1"/>
  <c r="F133" i="21"/>
  <c r="F156" i="21" s="1"/>
  <c r="E133" i="21"/>
  <c r="E156" i="21" s="1"/>
  <c r="D133" i="21"/>
  <c r="D156" i="21" s="1"/>
  <c r="C133" i="21"/>
  <c r="C156" i="21" s="1"/>
  <c r="H132" i="21"/>
  <c r="H155" i="21" s="1"/>
  <c r="G132" i="21"/>
  <c r="G155" i="21" s="1"/>
  <c r="F132" i="21"/>
  <c r="F155" i="21" s="1"/>
  <c r="E132" i="21"/>
  <c r="E155" i="21" s="1"/>
  <c r="D132" i="21"/>
  <c r="D155" i="21" s="1"/>
  <c r="C132" i="21"/>
  <c r="C155" i="21" s="1"/>
  <c r="H131" i="21"/>
  <c r="H154" i="21" s="1"/>
  <c r="G131" i="21"/>
  <c r="G154" i="21" s="1"/>
  <c r="F131" i="21"/>
  <c r="F154" i="21" s="1"/>
  <c r="E131" i="21"/>
  <c r="E154" i="21" s="1"/>
  <c r="D131" i="21"/>
  <c r="D154" i="21" s="1"/>
  <c r="C131" i="21"/>
  <c r="C154" i="21" s="1"/>
  <c r="H130" i="21"/>
  <c r="H153" i="21" s="1"/>
  <c r="G130" i="21"/>
  <c r="G153" i="21" s="1"/>
  <c r="F130" i="21"/>
  <c r="F153" i="21" s="1"/>
  <c r="E130" i="21"/>
  <c r="E153" i="21" s="1"/>
  <c r="D130" i="21"/>
  <c r="D153" i="21" s="1"/>
  <c r="C130" i="21"/>
  <c r="C153" i="21" s="1"/>
  <c r="H129" i="21"/>
  <c r="H152" i="21" s="1"/>
  <c r="G129" i="21"/>
  <c r="G152" i="21" s="1"/>
  <c r="F129" i="21"/>
  <c r="F152" i="21" s="1"/>
  <c r="E129" i="21"/>
  <c r="E152" i="21" s="1"/>
  <c r="D129" i="21"/>
  <c r="D152" i="21" s="1"/>
  <c r="C129" i="21"/>
  <c r="C152" i="21" s="1"/>
  <c r="H128" i="21"/>
  <c r="H151" i="21" s="1"/>
  <c r="G128" i="21"/>
  <c r="G151" i="21" s="1"/>
  <c r="F128" i="21"/>
  <c r="F151" i="21" s="1"/>
  <c r="E128" i="21"/>
  <c r="E151" i="21" s="1"/>
  <c r="D128" i="21"/>
  <c r="D151" i="21" s="1"/>
  <c r="C128" i="21"/>
  <c r="C151" i="21" s="1"/>
  <c r="H127" i="21"/>
  <c r="H150" i="21" s="1"/>
  <c r="G127" i="21"/>
  <c r="G150" i="21" s="1"/>
  <c r="F127" i="21"/>
  <c r="F150" i="21" s="1"/>
  <c r="E127" i="21"/>
  <c r="E150" i="21" s="1"/>
  <c r="D127" i="21"/>
  <c r="D150" i="21" s="1"/>
  <c r="C127" i="21"/>
  <c r="C150" i="21" s="1"/>
  <c r="A127" i="21"/>
  <c r="A128" i="21" s="1"/>
  <c r="A129" i="21" s="1"/>
  <c r="A130" i="21" s="1"/>
  <c r="A131" i="21" s="1"/>
  <c r="A132" i="21" s="1"/>
  <c r="A133" i="21" s="1"/>
  <c r="A134" i="21" s="1"/>
  <c r="A135" i="21" s="1"/>
  <c r="H126" i="21"/>
  <c r="H149" i="21" s="1"/>
  <c r="G126" i="21"/>
  <c r="G149" i="21" s="1"/>
  <c r="F126" i="21"/>
  <c r="F149" i="21" s="1"/>
  <c r="E126" i="21"/>
  <c r="E149" i="21" s="1"/>
  <c r="D126" i="21"/>
  <c r="D149" i="21" s="1"/>
  <c r="C126" i="21"/>
  <c r="C149" i="21" s="1"/>
  <c r="H111" i="21"/>
  <c r="G111" i="21"/>
  <c r="F111" i="21"/>
  <c r="E111" i="21"/>
  <c r="D111" i="21"/>
  <c r="C111" i="21"/>
  <c r="H110" i="21"/>
  <c r="G110" i="21"/>
  <c r="F110" i="21"/>
  <c r="E110" i="21"/>
  <c r="D110" i="21"/>
  <c r="C110" i="21"/>
  <c r="H109" i="21"/>
  <c r="G109" i="21"/>
  <c r="F109" i="21"/>
  <c r="E109" i="21"/>
  <c r="D109" i="21"/>
  <c r="C109" i="21"/>
  <c r="H108" i="21"/>
  <c r="G108" i="21"/>
  <c r="F108" i="21"/>
  <c r="E108" i="21"/>
  <c r="D108" i="21"/>
  <c r="C108" i="21"/>
  <c r="H107" i="21"/>
  <c r="G107" i="21"/>
  <c r="F107" i="21"/>
  <c r="E107" i="21"/>
  <c r="D107" i="21"/>
  <c r="C107" i="21"/>
  <c r="H106" i="21"/>
  <c r="G106" i="21"/>
  <c r="F106" i="21"/>
  <c r="E106" i="21"/>
  <c r="D106" i="21"/>
  <c r="C106" i="21"/>
  <c r="H105" i="21"/>
  <c r="G105" i="21"/>
  <c r="F105" i="21"/>
  <c r="E105" i="21"/>
  <c r="D105" i="21"/>
  <c r="C105" i="21"/>
  <c r="H104" i="21"/>
  <c r="G104" i="21"/>
  <c r="F104" i="21"/>
  <c r="E104" i="21"/>
  <c r="D104" i="21"/>
  <c r="C104" i="21"/>
  <c r="H103" i="21"/>
  <c r="G103" i="21"/>
  <c r="F103" i="21"/>
  <c r="E103" i="21"/>
  <c r="D103" i="21"/>
  <c r="C103" i="21"/>
  <c r="A103" i="21"/>
  <c r="A104" i="21" s="1"/>
  <c r="A105" i="21" s="1"/>
  <c r="A106" i="21" s="1"/>
  <c r="A107" i="21" s="1"/>
  <c r="A108" i="21" s="1"/>
  <c r="A109" i="21" s="1"/>
  <c r="A110" i="21" s="1"/>
  <c r="A111" i="21" s="1"/>
  <c r="H102" i="21"/>
  <c r="G102" i="21"/>
  <c r="F102" i="21"/>
  <c r="E102" i="21"/>
  <c r="D102" i="21"/>
  <c r="C102" i="21"/>
  <c r="A82" i="21"/>
  <c r="A83" i="21" s="1"/>
  <c r="A84" i="21" s="1"/>
  <c r="A85" i="21" s="1"/>
  <c r="A86" i="21" s="1"/>
  <c r="A87" i="21" s="1"/>
  <c r="A88" i="21" s="1"/>
  <c r="A89" i="21" s="1"/>
  <c r="A81" i="21"/>
  <c r="A58" i="21"/>
  <c r="A59" i="21" s="1"/>
  <c r="A60" i="21" s="1"/>
  <c r="A61" i="21" s="1"/>
  <c r="A62" i="21" s="1"/>
  <c r="A63" i="21" s="1"/>
  <c r="A64" i="21" s="1"/>
  <c r="A65" i="21" s="1"/>
  <c r="A66" i="21" s="1"/>
  <c r="F43" i="21"/>
  <c r="H188" i="21" s="1"/>
  <c r="H42" i="21"/>
  <c r="I42" i="21" s="1"/>
  <c r="J42" i="21" s="1"/>
  <c r="H41" i="21"/>
  <c r="I41" i="21" s="1"/>
  <c r="I33" i="21"/>
  <c r="I244" i="21" s="1"/>
  <c r="AG22" i="21" s="1"/>
  <c r="I32" i="21"/>
  <c r="I243" i="21" s="1"/>
  <c r="AG21" i="21" s="1"/>
  <c r="AI21" i="21" s="1"/>
  <c r="I31" i="21"/>
  <c r="I242" i="21" s="1"/>
  <c r="AG20" i="21" s="1"/>
  <c r="I30" i="21"/>
  <c r="I29" i="21"/>
  <c r="AF18" i="21" s="1"/>
  <c r="I28" i="21"/>
  <c r="AF17" i="21" s="1"/>
  <c r="I27" i="21"/>
  <c r="I238" i="21" s="1"/>
  <c r="AG16" i="21" s="1"/>
  <c r="I26" i="21"/>
  <c r="I237" i="21" s="1"/>
  <c r="AG15" i="21" s="1"/>
  <c r="I25" i="21"/>
  <c r="I236" i="21" s="1"/>
  <c r="AG14" i="21" s="1"/>
  <c r="B25" i="21"/>
  <c r="B26" i="21" s="1"/>
  <c r="B27" i="21" s="1"/>
  <c r="B28" i="21" s="1"/>
  <c r="B29" i="21" s="1"/>
  <c r="B30" i="21" s="1"/>
  <c r="B31" i="21" s="1"/>
  <c r="B32" i="21" s="1"/>
  <c r="B33" i="21" s="1"/>
  <c r="I24" i="21"/>
  <c r="A24" i="21"/>
  <c r="A235" i="21" s="1"/>
  <c r="A236" i="21" s="1"/>
  <c r="A237" i="21" s="1"/>
  <c r="A238" i="21" s="1"/>
  <c r="A239" i="21" s="1"/>
  <c r="A240" i="21" s="1"/>
  <c r="A241" i="21" s="1"/>
  <c r="A242" i="21" s="1"/>
  <c r="A243" i="21" s="1"/>
  <c r="A244" i="21" s="1"/>
  <c r="AF22" i="21"/>
  <c r="AI22" i="21" s="1"/>
  <c r="Z22" i="21"/>
  <c r="AD22" i="21" s="1"/>
  <c r="AE22" i="21" s="1"/>
  <c r="AJ22" i="21" s="1"/>
  <c r="W22" i="21"/>
  <c r="R22" i="21"/>
  <c r="Q22" i="21"/>
  <c r="S22" i="21" s="1"/>
  <c r="AF21" i="21"/>
  <c r="Z21" i="21"/>
  <c r="AD21" i="21" s="1"/>
  <c r="AE21" i="21" s="1"/>
  <c r="AJ21" i="21" s="1"/>
  <c r="W21" i="21"/>
  <c r="R21" i="21"/>
  <c r="AF20" i="21"/>
  <c r="AI20" i="21" s="1"/>
  <c r="Z20" i="21"/>
  <c r="AD20" i="21" s="1"/>
  <c r="AE20" i="21" s="1"/>
  <c r="AJ20" i="21" s="1"/>
  <c r="W20" i="21"/>
  <c r="R20" i="21"/>
  <c r="Q20" i="21"/>
  <c r="S20" i="21" s="1"/>
  <c r="AF19" i="21"/>
  <c r="AD19" i="21"/>
  <c r="AE19" i="21" s="1"/>
  <c r="AJ19" i="21" s="1"/>
  <c r="Z19" i="21"/>
  <c r="W19" i="21"/>
  <c r="R19" i="21"/>
  <c r="Z18" i="21"/>
  <c r="AD18" i="21" s="1"/>
  <c r="AE18" i="21" s="1"/>
  <c r="AJ18" i="21" s="1"/>
  <c r="W18" i="21"/>
  <c r="R18" i="21"/>
  <c r="Q18" i="21"/>
  <c r="S18" i="21" s="1"/>
  <c r="Z17" i="21"/>
  <c r="AD17" i="21" s="1"/>
  <c r="AE17" i="21" s="1"/>
  <c r="AJ17" i="21" s="1"/>
  <c r="W17" i="21"/>
  <c r="R17" i="21"/>
  <c r="AF16" i="21"/>
  <c r="AI16" i="21" s="1"/>
  <c r="Z16" i="21"/>
  <c r="AD16" i="21" s="1"/>
  <c r="AE16" i="21" s="1"/>
  <c r="AJ16" i="21" s="1"/>
  <c r="W16" i="21"/>
  <c r="R16" i="21"/>
  <c r="Q16" i="21"/>
  <c r="S16" i="21" s="1"/>
  <c r="AF15" i="21"/>
  <c r="AD15" i="21"/>
  <c r="AE15" i="21" s="1"/>
  <c r="AJ15" i="21" s="1"/>
  <c r="Z15" i="21"/>
  <c r="W15" i="21"/>
  <c r="R15" i="21"/>
  <c r="AF14" i="21"/>
  <c r="AI14" i="21" s="1"/>
  <c r="Z14" i="21"/>
  <c r="AD14" i="21" s="1"/>
  <c r="AE14" i="21" s="1"/>
  <c r="AJ14" i="21" s="1"/>
  <c r="W14" i="21"/>
  <c r="R14" i="21"/>
  <c r="Q14" i="21"/>
  <c r="S14" i="21" s="1"/>
  <c r="P14" i="21"/>
  <c r="P15" i="21" s="1"/>
  <c r="P16" i="21" s="1"/>
  <c r="P17" i="21" s="1"/>
  <c r="P18" i="21" s="1"/>
  <c r="P19" i="21" s="1"/>
  <c r="P20" i="21" s="1"/>
  <c r="P21" i="21" s="1"/>
  <c r="P22" i="21" s="1"/>
  <c r="AF13" i="21"/>
  <c r="AB13" i="21"/>
  <c r="AB14" i="21" s="1"/>
  <c r="AB15" i="21" s="1"/>
  <c r="AB16" i="21" s="1"/>
  <c r="AB17" i="21" s="1"/>
  <c r="AB18" i="21" s="1"/>
  <c r="AB19" i="21" s="1"/>
  <c r="AB20" i="21" s="1"/>
  <c r="AB21" i="21" s="1"/>
  <c r="AB22" i="21" s="1"/>
  <c r="Z13" i="21"/>
  <c r="AD13" i="21" s="1"/>
  <c r="AE13" i="21" s="1"/>
  <c r="AJ13" i="21" s="1"/>
  <c r="W13" i="21"/>
  <c r="R13" i="21"/>
  <c r="I13" i="21"/>
  <c r="AB6" i="21"/>
  <c r="O6" i="21"/>
  <c r="A6" i="21"/>
  <c r="AB3" i="21"/>
  <c r="O3" i="21"/>
  <c r="A3" i="21"/>
  <c r="J47" i="4" l="1"/>
  <c r="I47" i="4"/>
  <c r="C47" i="4"/>
  <c r="K47" i="4"/>
  <c r="D47" i="4"/>
  <c r="L47" i="4"/>
  <c r="E47" i="4"/>
  <c r="J188" i="21"/>
  <c r="I188" i="21"/>
  <c r="F190" i="21"/>
  <c r="F189" i="21" s="1"/>
  <c r="G189" i="21" s="1"/>
  <c r="G190" i="21" s="1"/>
  <c r="C191" i="21"/>
  <c r="C192" i="21" s="1"/>
  <c r="D191" i="21"/>
  <c r="I190" i="21"/>
  <c r="H190" i="21"/>
  <c r="AI15" i="21"/>
  <c r="I235" i="21"/>
  <c r="AG13" i="21" s="1"/>
  <c r="AI13" i="21" s="1"/>
  <c r="F45" i="21"/>
  <c r="J41" i="21"/>
  <c r="J43" i="21" s="1"/>
  <c r="C235" i="21"/>
  <c r="C243" i="21"/>
  <c r="A171" i="21"/>
  <c r="A172" i="21" s="1"/>
  <c r="A173" i="21" s="1"/>
  <c r="A174" i="21" s="1"/>
  <c r="A175" i="21" s="1"/>
  <c r="A176" i="21" s="1"/>
  <c r="A177" i="21" s="1"/>
  <c r="A178" i="21" s="1"/>
  <c r="A179" i="21" s="1"/>
  <c r="A180" i="21" s="1"/>
  <c r="H189" i="21"/>
  <c r="A25" i="21"/>
  <c r="A26" i="21" s="1"/>
  <c r="A27" i="21" s="1"/>
  <c r="A28" i="21" s="1"/>
  <c r="A29" i="21" s="1"/>
  <c r="A30" i="21" s="1"/>
  <c r="A31" i="21" s="1"/>
  <c r="A32" i="21" s="1"/>
  <c r="A33" i="21" s="1"/>
  <c r="C237" i="21"/>
  <c r="I175" i="21"/>
  <c r="Q17" i="21" s="1"/>
  <c r="S17" i="21" s="1"/>
  <c r="I177" i="21"/>
  <c r="Q19" i="21" s="1"/>
  <c r="S19" i="21" s="1"/>
  <c r="I240" i="21"/>
  <c r="AG18" i="21" s="1"/>
  <c r="AI18" i="21" s="1"/>
  <c r="O13" i="21"/>
  <c r="O14" i="21" s="1"/>
  <c r="O15" i="21" s="1"/>
  <c r="O16" i="21" s="1"/>
  <c r="O17" i="21" s="1"/>
  <c r="O18" i="21" s="1"/>
  <c r="O19" i="21" s="1"/>
  <c r="O20" i="21" s="1"/>
  <c r="O21" i="21" s="1"/>
  <c r="O22" i="21" s="1"/>
  <c r="D48" i="17"/>
  <c r="I43" i="21" l="1"/>
  <c r="I239" i="21"/>
  <c r="AG17" i="21" s="1"/>
  <c r="AI17" i="21" s="1"/>
  <c r="G191" i="21"/>
  <c r="G192" i="21" s="1"/>
  <c r="D192" i="21"/>
  <c r="I191" i="21"/>
  <c r="H191" i="21"/>
  <c r="F192" i="21"/>
  <c r="F191" i="21" s="1"/>
  <c r="C193" i="21"/>
  <c r="C194" i="21" s="1"/>
  <c r="J189" i="21"/>
  <c r="H43" i="21"/>
  <c r="I241" i="21"/>
  <c r="AG19" i="21" s="1"/>
  <c r="AI19" i="21" s="1"/>
  <c r="J190" i="21"/>
  <c r="F194" i="21" l="1"/>
  <c r="F193" i="21" s="1"/>
  <c r="C195" i="21"/>
  <c r="C196" i="21" s="1"/>
  <c r="J191" i="21"/>
  <c r="D193" i="21"/>
  <c r="I192" i="21"/>
  <c r="H192" i="21"/>
  <c r="G193" i="21"/>
  <c r="G194" i="21" s="1"/>
  <c r="C42" i="18"/>
  <c r="D42" i="18" s="1"/>
  <c r="E42" i="18" s="1"/>
  <c r="F42" i="18" s="1"/>
  <c r="G42" i="18" s="1"/>
  <c r="H42" i="18" s="1"/>
  <c r="I42" i="18" s="1"/>
  <c r="J42" i="18" s="1"/>
  <c r="K42" i="18" s="1"/>
  <c r="L42" i="18" s="1"/>
  <c r="C41" i="18"/>
  <c r="C40" i="18"/>
  <c r="D40" i="18" s="1"/>
  <c r="E40" i="18" s="1"/>
  <c r="F40" i="18" s="1"/>
  <c r="G40" i="18" s="1"/>
  <c r="H40" i="18" s="1"/>
  <c r="I40" i="18" s="1"/>
  <c r="J40" i="18" s="1"/>
  <c r="K40" i="18" s="1"/>
  <c r="L40" i="18" s="1"/>
  <c r="C39" i="18"/>
  <c r="C38" i="18"/>
  <c r="C37" i="18"/>
  <c r="C36" i="18"/>
  <c r="C35" i="18"/>
  <c r="D35" i="18" s="1"/>
  <c r="E35" i="18" s="1"/>
  <c r="F35" i="18" s="1"/>
  <c r="G35" i="18" s="1"/>
  <c r="H35" i="18" s="1"/>
  <c r="I35" i="18" s="1"/>
  <c r="J35" i="18" s="1"/>
  <c r="K35" i="18" s="1"/>
  <c r="L35" i="18" s="1"/>
  <c r="C34" i="18"/>
  <c r="D34" i="18" s="1"/>
  <c r="E34" i="18" s="1"/>
  <c r="F34" i="18" s="1"/>
  <c r="G34" i="18" s="1"/>
  <c r="H34" i="18" s="1"/>
  <c r="I34" i="18" s="1"/>
  <c r="J34" i="18" s="1"/>
  <c r="K34" i="18" s="1"/>
  <c r="L34" i="18" s="1"/>
  <c r="C33" i="18"/>
  <c r="D41" i="18"/>
  <c r="E41" i="18" s="1"/>
  <c r="F41" i="18" s="1"/>
  <c r="G41" i="18" s="1"/>
  <c r="H41" i="18" s="1"/>
  <c r="I41" i="18" s="1"/>
  <c r="J41" i="18" s="1"/>
  <c r="K41" i="18" s="1"/>
  <c r="L41" i="18" s="1"/>
  <c r="D39" i="18"/>
  <c r="E39" i="18" s="1"/>
  <c r="F39" i="18" s="1"/>
  <c r="G39" i="18" s="1"/>
  <c r="H39" i="18" s="1"/>
  <c r="I39" i="18" s="1"/>
  <c r="J39" i="18" s="1"/>
  <c r="K39" i="18" s="1"/>
  <c r="L39" i="18" s="1"/>
  <c r="D38" i="18"/>
  <c r="E38" i="18" s="1"/>
  <c r="F38" i="18" s="1"/>
  <c r="G38" i="18" s="1"/>
  <c r="H38" i="18" s="1"/>
  <c r="I38" i="18" s="1"/>
  <c r="J38" i="18" s="1"/>
  <c r="K38" i="18" s="1"/>
  <c r="L38" i="18" s="1"/>
  <c r="D37" i="18"/>
  <c r="E37" i="18" s="1"/>
  <c r="F37" i="18" s="1"/>
  <c r="G37" i="18" s="1"/>
  <c r="H37" i="18" s="1"/>
  <c r="I37" i="18" s="1"/>
  <c r="J37" i="18" s="1"/>
  <c r="K37" i="18" s="1"/>
  <c r="L37" i="18" s="1"/>
  <c r="D36" i="18"/>
  <c r="E36" i="18" s="1"/>
  <c r="F36" i="18" s="1"/>
  <c r="G36" i="18" s="1"/>
  <c r="H36" i="18" s="1"/>
  <c r="I36" i="18" s="1"/>
  <c r="J36" i="18" s="1"/>
  <c r="K36" i="18" s="1"/>
  <c r="L36" i="18" s="1"/>
  <c r="AG42" i="18"/>
  <c r="AG41" i="18"/>
  <c r="AG40" i="18"/>
  <c r="AG39" i="18"/>
  <c r="AG38" i="18"/>
  <c r="AG37" i="18"/>
  <c r="AG36" i="18"/>
  <c r="AG35" i="18"/>
  <c r="AG34" i="18"/>
  <c r="AG33" i="18"/>
  <c r="AE31" i="18"/>
  <c r="AF31" i="18"/>
  <c r="AE32" i="18"/>
  <c r="AF32" i="18"/>
  <c r="AH32" i="18"/>
  <c r="AI32" i="18" s="1"/>
  <c r="AJ32" i="18" s="1"/>
  <c r="AK32" i="18" s="1"/>
  <c r="AL32" i="18" s="1"/>
  <c r="AM32" i="18" s="1"/>
  <c r="AN32" i="18" s="1"/>
  <c r="AO32" i="18" s="1"/>
  <c r="AP32" i="18" s="1"/>
  <c r="AQ32" i="18" s="1"/>
  <c r="H58" i="19"/>
  <c r="H57" i="19"/>
  <c r="O13" i="19"/>
  <c r="M13" i="19"/>
  <c r="I13" i="19"/>
  <c r="J192" i="21" l="1"/>
  <c r="D194" i="21"/>
  <c r="I193" i="21"/>
  <c r="H193" i="21"/>
  <c r="J193" i="21" s="1"/>
  <c r="F196" i="21"/>
  <c r="F195" i="21" s="1"/>
  <c r="G195" i="21" s="1"/>
  <c r="G196" i="21" s="1"/>
  <c r="C197" i="21"/>
  <c r="C198" i="21" s="1"/>
  <c r="A70" i="17"/>
  <c r="C30" i="17"/>
  <c r="G48" i="17"/>
  <c r="H51" i="19"/>
  <c r="H50" i="19"/>
  <c r="H49" i="19"/>
  <c r="H48" i="19"/>
  <c r="D30" i="19"/>
  <c r="F198" i="21" l="1"/>
  <c r="F197" i="21" s="1"/>
  <c r="G197" i="21" s="1"/>
  <c r="G198" i="21" s="1"/>
  <c r="C199" i="21"/>
  <c r="C200" i="21" s="1"/>
  <c r="D195" i="21"/>
  <c r="I194" i="21"/>
  <c r="H194" i="21"/>
  <c r="J194" i="21" s="1"/>
  <c r="D196" i="21" l="1"/>
  <c r="I195" i="21"/>
  <c r="H195" i="21"/>
  <c r="J195" i="21" s="1"/>
  <c r="F200" i="21"/>
  <c r="F199" i="21" s="1"/>
  <c r="G199" i="21" s="1"/>
  <c r="G200" i="21" s="1"/>
  <c r="C201" i="21"/>
  <c r="C202" i="21" s="1"/>
  <c r="B43" i="18"/>
  <c r="P43" i="18" s="1"/>
  <c r="AF43" i="18" s="1"/>
  <c r="A67" i="17"/>
  <c r="D197" i="21" l="1"/>
  <c r="I196" i="21"/>
  <c r="H196" i="21"/>
  <c r="J196" i="21" s="1"/>
  <c r="F202" i="21"/>
  <c r="F201" i="21" s="1"/>
  <c r="G201" i="21" s="1"/>
  <c r="G202" i="21" s="1"/>
  <c r="C203" i="21"/>
  <c r="C204" i="21" s="1"/>
  <c r="E30" i="19"/>
  <c r="C30" i="19"/>
  <c r="B30" i="19"/>
  <c r="D198" i="21" l="1"/>
  <c r="I197" i="21"/>
  <c r="H197" i="21"/>
  <c r="J197" i="21" s="1"/>
  <c r="F204" i="21"/>
  <c r="F203" i="21" s="1"/>
  <c r="G203" i="21" s="1"/>
  <c r="G204" i="21" s="1"/>
  <c r="C205" i="21"/>
  <c r="C206" i="21" s="1"/>
  <c r="A3" i="19"/>
  <c r="B8" i="19"/>
  <c r="C8" i="19" s="1"/>
  <c r="D8" i="19" s="1"/>
  <c r="E8" i="19" s="1"/>
  <c r="F8" i="19" s="1"/>
  <c r="G8" i="19" s="1"/>
  <c r="H8" i="19" s="1"/>
  <c r="A15" i="19"/>
  <c r="F206" i="21" l="1"/>
  <c r="F205" i="21" s="1"/>
  <c r="G205" i="21" s="1"/>
  <c r="G206" i="21" s="1"/>
  <c r="G207" i="21" s="1"/>
  <c r="C207" i="21"/>
  <c r="F207" i="21" s="1"/>
  <c r="D199" i="21"/>
  <c r="I198" i="21"/>
  <c r="H198" i="21"/>
  <c r="I8" i="19"/>
  <c r="J8" i="19" s="1"/>
  <c r="K8" i="19" s="1"/>
  <c r="L8" i="19" s="1"/>
  <c r="M8" i="19" s="1"/>
  <c r="N8" i="19" s="1"/>
  <c r="O8" i="19" s="1"/>
  <c r="A16" i="19"/>
  <c r="J198" i="21" l="1"/>
  <c r="D200" i="21"/>
  <c r="I199" i="21"/>
  <c r="H199" i="21"/>
  <c r="J199" i="21" s="1"/>
  <c r="A28" i="19"/>
  <c r="B28" i="19" s="1"/>
  <c r="C28" i="19" s="1"/>
  <c r="D28" i="19" s="1"/>
  <c r="E28" i="19" s="1"/>
  <c r="F28" i="19" s="1"/>
  <c r="G28" i="19" s="1"/>
  <c r="H28" i="19" s="1"/>
  <c r="I28" i="19" s="1"/>
  <c r="J28" i="19" s="1"/>
  <c r="K28" i="19" s="1"/>
  <c r="L28" i="19" s="1"/>
  <c r="M28" i="19" s="1"/>
  <c r="A17" i="19"/>
  <c r="D201" i="21" l="1"/>
  <c r="I200" i="21"/>
  <c r="H200" i="21"/>
  <c r="J200" i="21" s="1"/>
  <c r="A18" i="19"/>
  <c r="D202" i="21" l="1"/>
  <c r="I201" i="21"/>
  <c r="H201" i="21"/>
  <c r="J201" i="21" s="1"/>
  <c r="A19" i="19"/>
  <c r="B64" i="18"/>
  <c r="P64" i="18" s="1"/>
  <c r="B42" i="18"/>
  <c r="D203" i="21" l="1"/>
  <c r="I202" i="21"/>
  <c r="H202" i="21"/>
  <c r="J202" i="21" s="1"/>
  <c r="B41" i="18"/>
  <c r="B62" i="18" s="1"/>
  <c r="P62" i="18" s="1"/>
  <c r="P42" i="18"/>
  <c r="AF42" i="18" s="1"/>
  <c r="A20" i="19"/>
  <c r="B63" i="18"/>
  <c r="P63" i="18" s="1"/>
  <c r="D204" i="21" l="1"/>
  <c r="I203" i="21"/>
  <c r="H203" i="21"/>
  <c r="J203" i="21" s="1"/>
  <c r="B40" i="18"/>
  <c r="P41" i="18"/>
  <c r="AF41" i="18" s="1"/>
  <c r="A21" i="19"/>
  <c r="D205" i="21" l="1"/>
  <c r="I204" i="21"/>
  <c r="H204" i="21"/>
  <c r="J204" i="21" s="1"/>
  <c r="B39" i="18"/>
  <c r="P40" i="18"/>
  <c r="AF40" i="18" s="1"/>
  <c r="B61" i="18"/>
  <c r="P61" i="18" s="1"/>
  <c r="A22" i="19"/>
  <c r="D206" i="21" l="1"/>
  <c r="I205" i="21"/>
  <c r="H205" i="21"/>
  <c r="J205" i="21" s="1"/>
  <c r="B38" i="18"/>
  <c r="P39" i="18"/>
  <c r="AF39" i="18" s="1"/>
  <c r="B60" i="18"/>
  <c r="P60" i="18" s="1"/>
  <c r="A23" i="19"/>
  <c r="D207" i="21" l="1"/>
  <c r="I206" i="21"/>
  <c r="H206" i="21"/>
  <c r="J206" i="21" s="1"/>
  <c r="B37" i="18"/>
  <c r="P38" i="18"/>
  <c r="AF38" i="18" s="1"/>
  <c r="B59" i="18"/>
  <c r="P59" i="18" s="1"/>
  <c r="C26" i="1"/>
  <c r="I207" i="21" l="1"/>
  <c r="H207" i="21"/>
  <c r="B36" i="18"/>
  <c r="P37" i="18"/>
  <c r="AF37" i="18" s="1"/>
  <c r="B58" i="18"/>
  <c r="P58" i="18" s="1"/>
  <c r="J207" i="21" l="1"/>
  <c r="J211" i="21" s="1"/>
  <c r="H211" i="21"/>
  <c r="B35" i="18"/>
  <c r="P36" i="18"/>
  <c r="AF36" i="18" s="1"/>
  <c r="B57" i="18"/>
  <c r="P57" i="18" s="1"/>
  <c r="B34" i="18" l="1"/>
  <c r="P35" i="18"/>
  <c r="AF35" i="18" s="1"/>
  <c r="B56" i="18"/>
  <c r="P56" i="18" s="1"/>
  <c r="B33" i="18" l="1"/>
  <c r="P34" i="18"/>
  <c r="AF34" i="18" s="1"/>
  <c r="B55" i="18"/>
  <c r="P55" i="18" s="1"/>
  <c r="P33" i="18" l="1"/>
  <c r="AF33" i="18" s="1"/>
  <c r="B54" i="18"/>
  <c r="P54" i="18" s="1"/>
  <c r="C25" i="1" l="1"/>
  <c r="C24" i="1" s="1"/>
  <c r="C23" i="1" s="1"/>
  <c r="C22" i="1" s="1"/>
  <c r="C21" i="1" s="1"/>
  <c r="C20" i="1" s="1"/>
  <c r="C19" i="1" s="1"/>
  <c r="C18" i="1" s="1"/>
  <c r="C17" i="1" s="1"/>
  <c r="C16" i="1" s="1"/>
  <c r="C15" i="1" s="1"/>
  <c r="C14" i="1" s="1"/>
  <c r="C13" i="1" s="1"/>
  <c r="C12" i="1" s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R22" i="11"/>
  <c r="S22" i="11" s="1"/>
  <c r="T22" i="11" s="1"/>
  <c r="M21" i="11"/>
  <c r="Q21" i="11" s="1"/>
  <c r="M20" i="11"/>
  <c r="Q20" i="11" s="1"/>
  <c r="M19" i="11"/>
  <c r="Q19" i="11" s="1"/>
  <c r="M18" i="11"/>
  <c r="Q18" i="11" s="1"/>
  <c r="M17" i="11"/>
  <c r="Q17" i="11" s="1"/>
  <c r="M16" i="11"/>
  <c r="Q16" i="11" s="1"/>
  <c r="M15" i="11"/>
  <c r="Q15" i="11" s="1"/>
  <c r="M14" i="11"/>
  <c r="Q14" i="11" s="1"/>
  <c r="M13" i="11"/>
  <c r="Q13" i="11" s="1"/>
  <c r="M12" i="11"/>
  <c r="R51" i="4"/>
  <c r="S51" i="4" s="1"/>
  <c r="T51" i="4" s="1"/>
  <c r="U51" i="4" s="1"/>
  <c r="O3" i="4"/>
  <c r="L3" i="11"/>
  <c r="A66" i="1"/>
  <c r="R53" i="18"/>
  <c r="S53" i="18" s="1"/>
  <c r="T53" i="18" s="1"/>
  <c r="U53" i="18" s="1"/>
  <c r="V53" i="18" s="1"/>
  <c r="W53" i="18" s="1"/>
  <c r="X53" i="18" s="1"/>
  <c r="Y53" i="18" s="1"/>
  <c r="Z53" i="18" s="1"/>
  <c r="R48" i="18"/>
  <c r="S48" i="18" s="1"/>
  <c r="T48" i="18" s="1"/>
  <c r="U48" i="18" s="1"/>
  <c r="V48" i="18" s="1"/>
  <c r="W48" i="18" s="1"/>
  <c r="X48" i="18" s="1"/>
  <c r="Y48" i="18" s="1"/>
  <c r="Z48" i="18" s="1"/>
  <c r="R32" i="18"/>
  <c r="O3" i="18"/>
  <c r="D53" i="18"/>
  <c r="E53" i="18" s="1"/>
  <c r="F53" i="18" s="1"/>
  <c r="G53" i="18" s="1"/>
  <c r="H53" i="18" s="1"/>
  <c r="I53" i="18" s="1"/>
  <c r="J53" i="18" s="1"/>
  <c r="K53" i="18" s="1"/>
  <c r="L53" i="18" s="1"/>
  <c r="D32" i="18"/>
  <c r="AH40" i="18" l="1"/>
  <c r="AH36" i="18"/>
  <c r="AH33" i="18"/>
  <c r="AH39" i="18"/>
  <c r="AH35" i="18"/>
  <c r="AH37" i="18"/>
  <c r="AH42" i="18"/>
  <c r="AH38" i="18"/>
  <c r="AH34" i="18"/>
  <c r="AH41" i="18"/>
  <c r="D33" i="18"/>
  <c r="E33" i="18" s="1"/>
  <c r="F33" i="18" s="1"/>
  <c r="G33" i="18" s="1"/>
  <c r="H33" i="18" s="1"/>
  <c r="I33" i="18" s="1"/>
  <c r="J33" i="18" s="1"/>
  <c r="K33" i="18" s="1"/>
  <c r="L33" i="18" s="1"/>
  <c r="E32" i="18"/>
  <c r="F32" i="18" s="1"/>
  <c r="V51" i="4"/>
  <c r="W51" i="4" s="1"/>
  <c r="X51" i="4" s="1"/>
  <c r="Y51" i="4" s="1"/>
  <c r="Z51" i="4" s="1"/>
  <c r="A65" i="1"/>
  <c r="S32" i="18"/>
  <c r="D48" i="18"/>
  <c r="E48" i="18" s="1"/>
  <c r="F48" i="18" s="1"/>
  <c r="G48" i="18" s="1"/>
  <c r="H48" i="18" s="1"/>
  <c r="I48" i="18" s="1"/>
  <c r="J48" i="18" s="1"/>
  <c r="K48" i="18" s="1"/>
  <c r="L48" i="18" s="1"/>
  <c r="A3" i="18"/>
  <c r="AI39" i="18" l="1"/>
  <c r="AI35" i="18"/>
  <c r="AI42" i="18"/>
  <c r="AI38" i="18"/>
  <c r="AI34" i="18"/>
  <c r="AI40" i="18"/>
  <c r="AI36" i="18"/>
  <c r="AI41" i="18"/>
  <c r="AI37" i="18"/>
  <c r="AI33" i="18"/>
  <c r="A64" i="1"/>
  <c r="T32" i="18"/>
  <c r="G32" i="18"/>
  <c r="AJ39" i="18" l="1"/>
  <c r="AJ35" i="18"/>
  <c r="AJ42" i="18"/>
  <c r="AJ38" i="18"/>
  <c r="AJ34" i="18"/>
  <c r="AJ41" i="18"/>
  <c r="AJ37" i="18"/>
  <c r="AJ33" i="18"/>
  <c r="AJ40" i="18"/>
  <c r="AJ36" i="18"/>
  <c r="A63" i="1"/>
  <c r="U32" i="18"/>
  <c r="H32" i="18"/>
  <c r="AK39" i="18" l="1"/>
  <c r="AK35" i="18"/>
  <c r="AK42" i="18"/>
  <c r="AK38" i="18"/>
  <c r="AK34" i="18"/>
  <c r="AK41" i="18"/>
  <c r="AK37" i="18"/>
  <c r="AK33" i="18"/>
  <c r="AK40" i="18"/>
  <c r="AK36" i="18"/>
  <c r="A62" i="1"/>
  <c r="V32" i="18"/>
  <c r="I32" i="18"/>
  <c r="AL42" i="18" l="1"/>
  <c r="AL38" i="18"/>
  <c r="AL34" i="18"/>
  <c r="AL41" i="18"/>
  <c r="AL37" i="18"/>
  <c r="AL33" i="18"/>
  <c r="AL35" i="18"/>
  <c r="AL40" i="18"/>
  <c r="AL36" i="18"/>
  <c r="AL39" i="18"/>
  <c r="A61" i="1"/>
  <c r="W32" i="18"/>
  <c r="J32" i="18"/>
  <c r="AM41" i="18" l="1"/>
  <c r="AM37" i="18"/>
  <c r="AM33" i="18"/>
  <c r="AM34" i="18"/>
  <c r="AM40" i="18"/>
  <c r="AM36" i="18"/>
  <c r="AM42" i="18"/>
  <c r="AM38" i="18"/>
  <c r="AM39" i="18"/>
  <c r="AM35" i="18"/>
  <c r="A60" i="1"/>
  <c r="X32" i="18"/>
  <c r="K32" i="18"/>
  <c r="AN41" i="18" l="1"/>
  <c r="AN37" i="18"/>
  <c r="AN33" i="18"/>
  <c r="AN40" i="18"/>
  <c r="AN36" i="18"/>
  <c r="AN34" i="18"/>
  <c r="AN39" i="18"/>
  <c r="AN35" i="18"/>
  <c r="AN42" i="18"/>
  <c r="AN38" i="18"/>
  <c r="A59" i="1"/>
  <c r="Y32" i="18"/>
  <c r="L32" i="18"/>
  <c r="AO40" i="18" l="1"/>
  <c r="AO36" i="18"/>
  <c r="AO41" i="18"/>
  <c r="AO39" i="18"/>
  <c r="AO35" i="18"/>
  <c r="AO42" i="18"/>
  <c r="AO38" i="18"/>
  <c r="AO34" i="18"/>
  <c r="AO37" i="18"/>
  <c r="AO33" i="18"/>
  <c r="A58" i="1"/>
  <c r="Z32" i="18"/>
  <c r="AA32" i="18" l="1"/>
  <c r="AP40" i="18"/>
  <c r="AP36" i="18"/>
  <c r="AP39" i="18"/>
  <c r="AP35" i="18"/>
  <c r="AP42" i="18"/>
  <c r="AP38" i="18"/>
  <c r="AP34" i="18"/>
  <c r="AP41" i="18"/>
  <c r="AP37" i="18"/>
  <c r="AP33" i="18"/>
  <c r="A57" i="1"/>
  <c r="AQ39" i="18" l="1"/>
  <c r="AQ35" i="18"/>
  <c r="AQ36" i="18"/>
  <c r="AQ42" i="18"/>
  <c r="AQ38" i="18"/>
  <c r="AQ34" i="18"/>
  <c r="AQ41" i="18"/>
  <c r="AQ37" i="18"/>
  <c r="AQ33" i="18"/>
  <c r="AQ40" i="18"/>
  <c r="A56" i="1"/>
  <c r="A55" i="1" l="1"/>
  <c r="A54" i="1" l="1"/>
  <c r="A53" i="1" l="1"/>
  <c r="A3" i="17" l="1"/>
  <c r="F64" i="18" l="1"/>
  <c r="E64" i="18"/>
  <c r="H64" i="18"/>
  <c r="J64" i="18"/>
  <c r="K64" i="18"/>
  <c r="L64" i="18"/>
  <c r="C64" i="18"/>
  <c r="A3" i="11"/>
  <c r="A3" i="4"/>
  <c r="A3" i="1"/>
  <c r="D51" i="4"/>
  <c r="E51" i="4" s="1"/>
  <c r="F51" i="4" s="1"/>
  <c r="G51" i="4" s="1"/>
  <c r="H51" i="4" s="1"/>
  <c r="I51" i="4" s="1"/>
  <c r="J51" i="4" s="1"/>
  <c r="K51" i="4" s="1"/>
  <c r="L51" i="4" s="1"/>
  <c r="B24" i="4"/>
  <c r="B4" i="3"/>
  <c r="A22" i="11" l="1"/>
  <c r="A34" i="19"/>
  <c r="A35" i="19" s="1"/>
  <c r="A36" i="19" s="1"/>
  <c r="A37" i="19" s="1"/>
  <c r="A38" i="19" s="1"/>
  <c r="A39" i="19" s="1"/>
  <c r="A40" i="19" s="1"/>
  <c r="A41" i="19" s="1"/>
  <c r="A42" i="19" s="1"/>
  <c r="A43" i="19" s="1"/>
  <c r="A23" i="18"/>
  <c r="A23" i="4"/>
  <c r="A5" i="19"/>
  <c r="Q31" i="4"/>
  <c r="R31" i="4" s="1"/>
  <c r="S31" i="4" s="1"/>
  <c r="T31" i="4" s="1"/>
  <c r="U31" i="4" s="1"/>
  <c r="V31" i="4" s="1"/>
  <c r="W31" i="4" s="1"/>
  <c r="X31" i="4" s="1"/>
  <c r="Y31" i="4" s="1"/>
  <c r="Z31" i="4" s="1"/>
  <c r="C31" i="4"/>
  <c r="D31" i="4" s="1"/>
  <c r="E31" i="4" s="1"/>
  <c r="F31" i="4" s="1"/>
  <c r="G31" i="4" s="1"/>
  <c r="H31" i="4" s="1"/>
  <c r="I31" i="4" s="1"/>
  <c r="J31" i="4" s="1"/>
  <c r="K31" i="4" s="1"/>
  <c r="L31" i="4" s="1"/>
  <c r="C12" i="4"/>
  <c r="D12" i="4" s="1"/>
  <c r="E12" i="4" s="1"/>
  <c r="F12" i="4" s="1"/>
  <c r="G12" i="4" s="1"/>
  <c r="H12" i="4" s="1"/>
  <c r="I12" i="4" s="1"/>
  <c r="J12" i="4" s="1"/>
  <c r="K12" i="4" s="1"/>
  <c r="L12" i="4" s="1"/>
  <c r="G64" i="18"/>
  <c r="S55" i="18"/>
  <c r="K60" i="18"/>
  <c r="X60" i="18"/>
  <c r="I64" i="18"/>
  <c r="V55" i="18"/>
  <c r="E62" i="18"/>
  <c r="D64" i="18"/>
  <c r="D62" i="18"/>
  <c r="F57" i="18"/>
  <c r="S60" i="18"/>
  <c r="U58" i="18"/>
  <c r="T58" i="18"/>
  <c r="R55" i="18"/>
  <c r="W57" i="18"/>
  <c r="H61" i="18"/>
  <c r="U61" i="18"/>
  <c r="T59" i="18"/>
  <c r="Z62" i="18"/>
  <c r="L62" i="18"/>
  <c r="Y57" i="18"/>
  <c r="K57" i="18"/>
  <c r="X62" i="18"/>
  <c r="J62" i="18"/>
  <c r="X63" i="18"/>
  <c r="J63" i="18"/>
  <c r="W55" i="18"/>
  <c r="I55" i="18"/>
  <c r="W56" i="18"/>
  <c r="I56" i="18"/>
  <c r="V54" i="18"/>
  <c r="H54" i="18"/>
  <c r="R58" i="18"/>
  <c r="D58" i="18"/>
  <c r="S59" i="18"/>
  <c r="E59" i="18"/>
  <c r="S54" i="18"/>
  <c r="E54" i="18"/>
  <c r="Q62" i="18"/>
  <c r="C62" i="18"/>
  <c r="Z57" i="18"/>
  <c r="L57" i="18"/>
  <c r="Z54" i="18"/>
  <c r="L54" i="18"/>
  <c r="Y56" i="18"/>
  <c r="K56" i="18"/>
  <c r="W61" i="18"/>
  <c r="I61" i="18"/>
  <c r="W58" i="18"/>
  <c r="I58" i="18"/>
  <c r="V57" i="18"/>
  <c r="H57" i="18"/>
  <c r="U60" i="18"/>
  <c r="G60" i="18"/>
  <c r="S57" i="18"/>
  <c r="E57" i="18"/>
  <c r="R63" i="18"/>
  <c r="D63" i="18"/>
  <c r="R59" i="18"/>
  <c r="D59" i="18"/>
  <c r="R57" i="18"/>
  <c r="D57" i="18"/>
  <c r="Q63" i="18"/>
  <c r="C63" i="18"/>
  <c r="Z56" i="18"/>
  <c r="L56" i="18"/>
  <c r="Y59" i="18"/>
  <c r="K59" i="18"/>
  <c r="W60" i="18"/>
  <c r="I60" i="18"/>
  <c r="V56" i="18"/>
  <c r="H56" i="18"/>
  <c r="U54" i="18"/>
  <c r="G54" i="18"/>
  <c r="S63" i="18"/>
  <c r="E63" i="18"/>
  <c r="R62" i="18"/>
  <c r="Q60" i="18"/>
  <c r="C60" i="18"/>
  <c r="Q56" i="18"/>
  <c r="C56" i="18"/>
  <c r="Z61" i="18"/>
  <c r="L61" i="18"/>
  <c r="Z55" i="18"/>
  <c r="L55" i="18"/>
  <c r="Y61" i="18"/>
  <c r="K61" i="18"/>
  <c r="Y58" i="18"/>
  <c r="K58" i="18"/>
  <c r="W63" i="18"/>
  <c r="I63" i="18"/>
  <c r="W62" i="18"/>
  <c r="I62" i="18"/>
  <c r="V58" i="18"/>
  <c r="H58" i="18"/>
  <c r="U55" i="18"/>
  <c r="G55" i="18"/>
  <c r="T62" i="18"/>
  <c r="F62" i="18"/>
  <c r="T55" i="18"/>
  <c r="F55" i="18"/>
  <c r="T61" i="18"/>
  <c r="F61" i="18"/>
  <c r="Q57" i="18"/>
  <c r="C57" i="18"/>
  <c r="Q59" i="18"/>
  <c r="C59" i="18"/>
  <c r="Y55" i="18"/>
  <c r="K55" i="18"/>
  <c r="Y54" i="18"/>
  <c r="K54" i="18"/>
  <c r="X55" i="18"/>
  <c r="J55" i="18"/>
  <c r="X54" i="18"/>
  <c r="J54" i="18"/>
  <c r="V63" i="18"/>
  <c r="H63" i="18"/>
  <c r="V60" i="18"/>
  <c r="H60" i="18"/>
  <c r="U57" i="18"/>
  <c r="G57" i="18"/>
  <c r="S58" i="18"/>
  <c r="E58" i="18"/>
  <c r="R60" i="18"/>
  <c r="D60" i="18"/>
  <c r="R54" i="18"/>
  <c r="D54" i="18"/>
  <c r="T63" i="18"/>
  <c r="F63" i="18"/>
  <c r="Q55" i="18"/>
  <c r="C55" i="18"/>
  <c r="Q54" i="18"/>
  <c r="C54" i="18"/>
  <c r="Z63" i="18"/>
  <c r="L63" i="18"/>
  <c r="Z58" i="18"/>
  <c r="L58" i="18"/>
  <c r="Y63" i="18"/>
  <c r="K63" i="18"/>
  <c r="X57" i="18"/>
  <c r="J57" i="18"/>
  <c r="V62" i="18"/>
  <c r="H62" i="18"/>
  <c r="U59" i="18"/>
  <c r="G59" i="18"/>
  <c r="S56" i="18"/>
  <c r="E56" i="18"/>
  <c r="T54" i="18"/>
  <c r="F54" i="18"/>
  <c r="R61" i="18"/>
  <c r="D61" i="18"/>
  <c r="Q58" i="18"/>
  <c r="C58" i="18"/>
  <c r="Q61" i="18"/>
  <c r="C61" i="18"/>
  <c r="Z59" i="18"/>
  <c r="L59" i="18"/>
  <c r="Z60" i="18"/>
  <c r="L60" i="18"/>
  <c r="Y62" i="18"/>
  <c r="K62" i="18"/>
  <c r="X56" i="18"/>
  <c r="J56" i="18"/>
  <c r="X59" i="18"/>
  <c r="J59" i="18"/>
  <c r="W54" i="18"/>
  <c r="I54" i="18"/>
  <c r="V59" i="18"/>
  <c r="H59" i="18"/>
  <c r="U56" i="18"/>
  <c r="G56" i="18"/>
  <c r="T56" i="18"/>
  <c r="F56" i="18"/>
  <c r="T60" i="18"/>
  <c r="F60" i="18"/>
  <c r="X58" i="18"/>
  <c r="J58" i="18"/>
  <c r="X61" i="18"/>
  <c r="J61" i="18"/>
  <c r="W59" i="18"/>
  <c r="I59" i="18"/>
  <c r="U63" i="18"/>
  <c r="G63" i="18"/>
  <c r="U62" i="18"/>
  <c r="G62" i="18"/>
  <c r="S61" i="18"/>
  <c r="E61" i="18"/>
  <c r="R56" i="18"/>
  <c r="D56" i="18"/>
  <c r="A5" i="1"/>
  <c r="O7" i="4"/>
  <c r="E11" i="1"/>
  <c r="F11" i="1" s="1"/>
  <c r="G11" i="1" s="1"/>
  <c r="H11" i="1" s="1"/>
  <c r="I11" i="1" s="1"/>
  <c r="J11" i="1" s="1"/>
  <c r="K11" i="1" s="1"/>
  <c r="L11" i="1" s="1"/>
  <c r="M11" i="1" s="1"/>
  <c r="N11" i="1" s="1"/>
  <c r="O11" i="1" s="1"/>
  <c r="P11" i="1" s="1"/>
  <c r="Q11" i="1" s="1"/>
  <c r="R11" i="1" s="1"/>
  <c r="S11" i="1" s="1"/>
  <c r="O7" i="18"/>
  <c r="Q12" i="4"/>
  <c r="R12" i="4" s="1"/>
  <c r="S12" i="4" s="1"/>
  <c r="T12" i="4" s="1"/>
  <c r="U12" i="4" s="1"/>
  <c r="V12" i="4" s="1"/>
  <c r="W12" i="4" s="1"/>
  <c r="X12" i="4" s="1"/>
  <c r="Y12" i="4" s="1"/>
  <c r="Z12" i="4" s="1"/>
  <c r="B53" i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L5" i="11"/>
  <c r="C12" i="18"/>
  <c r="A7" i="18"/>
  <c r="A5" i="17"/>
  <c r="A5" i="11"/>
  <c r="A7" i="4"/>
  <c r="D12" i="1"/>
  <c r="D26" i="1"/>
  <c r="O64" i="18" l="1"/>
  <c r="O63" i="18" s="1"/>
  <c r="O62" i="18" s="1"/>
  <c r="O61" i="18" s="1"/>
  <c r="O60" i="18" s="1"/>
  <c r="O59" i="18" s="1"/>
  <c r="O58" i="18" s="1"/>
  <c r="O57" i="18" s="1"/>
  <c r="O56" i="18" s="1"/>
  <c r="O55" i="18" s="1"/>
  <c r="O54" i="18" s="1"/>
  <c r="O23" i="18"/>
  <c r="O22" i="18" s="1"/>
  <c r="O21" i="18" s="1"/>
  <c r="O20" i="18" s="1"/>
  <c r="O19" i="18" s="1"/>
  <c r="O18" i="18" s="1"/>
  <c r="O17" i="18" s="1"/>
  <c r="O16" i="18" s="1"/>
  <c r="O15" i="18" s="1"/>
  <c r="O14" i="18" s="1"/>
  <c r="O13" i="18" s="1"/>
  <c r="O43" i="18"/>
  <c r="A43" i="18"/>
  <c r="A42" i="18" s="1"/>
  <c r="A41" i="18" s="1"/>
  <c r="A40" i="18" s="1"/>
  <c r="A39" i="18" s="1"/>
  <c r="A38" i="18" s="1"/>
  <c r="A37" i="18" s="1"/>
  <c r="A36" i="18" s="1"/>
  <c r="A35" i="18" s="1"/>
  <c r="A34" i="18" s="1"/>
  <c r="A33" i="18" s="1"/>
  <c r="A64" i="18"/>
  <c r="A22" i="18"/>
  <c r="A21" i="18" s="1"/>
  <c r="A20" i="18" s="1"/>
  <c r="A19" i="18" s="1"/>
  <c r="A18" i="18" s="1"/>
  <c r="A17" i="18" s="1"/>
  <c r="A16" i="18" s="1"/>
  <c r="A15" i="18" s="1"/>
  <c r="A14" i="18" s="1"/>
  <c r="A13" i="18" s="1"/>
  <c r="A22" i="4"/>
  <c r="A21" i="4" s="1"/>
  <c r="A20" i="4" s="1"/>
  <c r="A19" i="4" s="1"/>
  <c r="A18" i="4" s="1"/>
  <c r="A17" i="4" s="1"/>
  <c r="A16" i="4" s="1"/>
  <c r="A15" i="4" s="1"/>
  <c r="A14" i="4" s="1"/>
  <c r="A13" i="4" s="1"/>
  <c r="A42" i="4"/>
  <c r="A41" i="4" s="1"/>
  <c r="A40" i="4" s="1"/>
  <c r="A39" i="4" s="1"/>
  <c r="A38" i="4" s="1"/>
  <c r="A37" i="4" s="1"/>
  <c r="A36" i="4" s="1"/>
  <c r="A35" i="4" s="1"/>
  <c r="A34" i="4" s="1"/>
  <c r="A33" i="4" s="1"/>
  <c r="A32" i="4" s="1"/>
  <c r="O23" i="4"/>
  <c r="O22" i="4" s="1"/>
  <c r="O21" i="4" s="1"/>
  <c r="O20" i="4" s="1"/>
  <c r="O19" i="4" s="1"/>
  <c r="O18" i="4" s="1"/>
  <c r="O17" i="4" s="1"/>
  <c r="O16" i="4" s="1"/>
  <c r="O15" i="4" s="1"/>
  <c r="O14" i="4" s="1"/>
  <c r="O13" i="4" s="1"/>
  <c r="O42" i="4"/>
  <c r="O41" i="4" s="1"/>
  <c r="O40" i="4" s="1"/>
  <c r="O39" i="4" s="1"/>
  <c r="O38" i="4" s="1"/>
  <c r="O37" i="4" s="1"/>
  <c r="O36" i="4" s="1"/>
  <c r="O35" i="4" s="1"/>
  <c r="O34" i="4" s="1"/>
  <c r="O33" i="4" s="1"/>
  <c r="O32" i="4" s="1"/>
  <c r="L22" i="11"/>
  <c r="A21" i="11"/>
  <c r="A20" i="11" s="1"/>
  <c r="A19" i="11" s="1"/>
  <c r="A18" i="11" s="1"/>
  <c r="A17" i="11" s="1"/>
  <c r="A16" i="11" s="1"/>
  <c r="A15" i="11" s="1"/>
  <c r="A14" i="11" s="1"/>
  <c r="A13" i="11" s="1"/>
  <c r="A12" i="11" s="1"/>
  <c r="F59" i="18"/>
  <c r="G58" i="18"/>
  <c r="I57" i="18"/>
  <c r="H55" i="18"/>
  <c r="E55" i="18"/>
  <c r="E60" i="18"/>
  <c r="D55" i="18"/>
  <c r="G61" i="18"/>
  <c r="J60" i="18"/>
  <c r="F58" i="18"/>
  <c r="V61" i="18"/>
  <c r="T57" i="18"/>
  <c r="S62" i="18"/>
  <c r="Y60" i="18"/>
  <c r="Q12" i="18"/>
  <c r="D12" i="18"/>
  <c r="E12" i="1"/>
  <c r="M12" i="1"/>
  <c r="R12" i="1"/>
  <c r="L12" i="1"/>
  <c r="G12" i="1"/>
  <c r="K12" i="1"/>
  <c r="O12" i="1"/>
  <c r="H12" i="1"/>
  <c r="J12" i="1"/>
  <c r="F12" i="1"/>
  <c r="P12" i="1"/>
  <c r="S12" i="1"/>
  <c r="I12" i="1"/>
  <c r="N12" i="1"/>
  <c r="Q12" i="1"/>
  <c r="D19" i="1"/>
  <c r="D20" i="1"/>
  <c r="D14" i="1"/>
  <c r="D22" i="1"/>
  <c r="D13" i="1"/>
  <c r="D15" i="1"/>
  <c r="D23" i="1"/>
  <c r="D16" i="1"/>
  <c r="D24" i="1"/>
  <c r="D21" i="1"/>
  <c r="D17" i="1"/>
  <c r="D25" i="1"/>
  <c r="E26" i="1"/>
  <c r="Q22" i="4" s="1"/>
  <c r="F26" i="1"/>
  <c r="R22" i="4" s="1"/>
  <c r="G26" i="1"/>
  <c r="S22" i="4" s="1"/>
  <c r="H26" i="1"/>
  <c r="T22" i="4" s="1"/>
  <c r="I26" i="1"/>
  <c r="U22" i="4" s="1"/>
  <c r="J26" i="1"/>
  <c r="V22" i="4" s="1"/>
  <c r="K26" i="1"/>
  <c r="W22" i="4" s="1"/>
  <c r="L26" i="1"/>
  <c r="X22" i="4" s="1"/>
  <c r="M26" i="1"/>
  <c r="Y22" i="4" s="1"/>
  <c r="N26" i="1"/>
  <c r="Z22" i="4" s="1"/>
  <c r="O26" i="1"/>
  <c r="P26" i="1"/>
  <c r="Q26" i="1"/>
  <c r="R26" i="1"/>
  <c r="S26" i="1"/>
  <c r="D18" i="1"/>
  <c r="O42" i="18" l="1"/>
  <c r="AE43" i="18"/>
  <c r="T12" i="1"/>
  <c r="C23" i="4"/>
  <c r="E12" i="18"/>
  <c r="R12" i="18"/>
  <c r="E23" i="1"/>
  <c r="Q19" i="4" s="1"/>
  <c r="F23" i="1"/>
  <c r="R19" i="4" s="1"/>
  <c r="G23" i="1"/>
  <c r="S19" i="4" s="1"/>
  <c r="H23" i="1"/>
  <c r="T19" i="4" s="1"/>
  <c r="I23" i="1"/>
  <c r="U19" i="4" s="1"/>
  <c r="J23" i="1"/>
  <c r="V19" i="4" s="1"/>
  <c r="K23" i="1"/>
  <c r="W19" i="4" s="1"/>
  <c r="L23" i="1"/>
  <c r="X19" i="4" s="1"/>
  <c r="M23" i="1"/>
  <c r="Y19" i="4" s="1"/>
  <c r="N23" i="1"/>
  <c r="Z19" i="4" s="1"/>
  <c r="O23" i="1"/>
  <c r="P23" i="1"/>
  <c r="Q23" i="1"/>
  <c r="R23" i="1"/>
  <c r="S23" i="1"/>
  <c r="D23" i="4"/>
  <c r="D42" i="4" s="1"/>
  <c r="D23" i="18" s="1"/>
  <c r="G23" i="4"/>
  <c r="G42" i="4" s="1"/>
  <c r="G23" i="18" s="1"/>
  <c r="E24" i="1"/>
  <c r="Q20" i="4" s="1"/>
  <c r="F24" i="1"/>
  <c r="R20" i="4" s="1"/>
  <c r="G24" i="1"/>
  <c r="S20" i="4" s="1"/>
  <c r="H24" i="1"/>
  <c r="T20" i="4" s="1"/>
  <c r="I24" i="1"/>
  <c r="U20" i="4" s="1"/>
  <c r="J24" i="1"/>
  <c r="V20" i="4" s="1"/>
  <c r="K24" i="1"/>
  <c r="W20" i="4" s="1"/>
  <c r="L24" i="1"/>
  <c r="X20" i="4" s="1"/>
  <c r="M24" i="1"/>
  <c r="Y20" i="4" s="1"/>
  <c r="N24" i="1"/>
  <c r="Z20" i="4" s="1"/>
  <c r="O24" i="1"/>
  <c r="P24" i="1"/>
  <c r="Q24" i="1"/>
  <c r="R24" i="1"/>
  <c r="S24" i="1"/>
  <c r="E19" i="1"/>
  <c r="Q15" i="4" s="1"/>
  <c r="J19" i="1"/>
  <c r="V15" i="4" s="1"/>
  <c r="L19" i="1"/>
  <c r="X15" i="4" s="1"/>
  <c r="G19" i="1"/>
  <c r="S15" i="4" s="1"/>
  <c r="F19" i="1"/>
  <c r="R15" i="4" s="1"/>
  <c r="I19" i="1"/>
  <c r="U15" i="4" s="1"/>
  <c r="H19" i="1"/>
  <c r="T15" i="4" s="1"/>
  <c r="K19" i="1"/>
  <c r="W15" i="4" s="1"/>
  <c r="M19" i="1"/>
  <c r="Y15" i="4" s="1"/>
  <c r="N19" i="1"/>
  <c r="Z15" i="4" s="1"/>
  <c r="O19" i="1"/>
  <c r="P19" i="1"/>
  <c r="Q19" i="1"/>
  <c r="R19" i="1"/>
  <c r="S19" i="1"/>
  <c r="F23" i="4"/>
  <c r="F42" i="4" s="1"/>
  <c r="F23" i="18" s="1"/>
  <c r="E16" i="1"/>
  <c r="M16" i="1"/>
  <c r="F16" i="1"/>
  <c r="N16" i="1"/>
  <c r="K16" i="1"/>
  <c r="G16" i="1"/>
  <c r="L16" i="1"/>
  <c r="I16" i="1"/>
  <c r="H16" i="1"/>
  <c r="O16" i="1"/>
  <c r="P16" i="1"/>
  <c r="J16" i="1"/>
  <c r="Q16" i="1"/>
  <c r="R16" i="1"/>
  <c r="S16" i="1"/>
  <c r="K23" i="4"/>
  <c r="K42" i="4" s="1"/>
  <c r="K23" i="18" s="1"/>
  <c r="T26" i="1"/>
  <c r="E13" i="1"/>
  <c r="P13" i="1"/>
  <c r="Q13" i="1"/>
  <c r="H13" i="1"/>
  <c r="M13" i="1"/>
  <c r="R13" i="1"/>
  <c r="L13" i="1"/>
  <c r="F13" i="1"/>
  <c r="G13" i="1"/>
  <c r="I13" i="1"/>
  <c r="O13" i="1"/>
  <c r="J13" i="1"/>
  <c r="N13" i="1"/>
  <c r="K13" i="1"/>
  <c r="S13" i="1"/>
  <c r="E23" i="4"/>
  <c r="E42" i="4" s="1"/>
  <c r="E23" i="18" s="1"/>
  <c r="E18" i="1"/>
  <c r="Q14" i="4" s="1"/>
  <c r="H18" i="1"/>
  <c r="T14" i="4" s="1"/>
  <c r="M18" i="1"/>
  <c r="Y14" i="4" s="1"/>
  <c r="K18" i="1"/>
  <c r="W14" i="4" s="1"/>
  <c r="F18" i="1"/>
  <c r="R14" i="4" s="1"/>
  <c r="J18" i="1"/>
  <c r="V14" i="4" s="1"/>
  <c r="N18" i="1"/>
  <c r="Z14" i="4" s="1"/>
  <c r="I18" i="1"/>
  <c r="U14" i="4" s="1"/>
  <c r="L18" i="1"/>
  <c r="X14" i="4" s="1"/>
  <c r="G18" i="1"/>
  <c r="S14" i="4" s="1"/>
  <c r="O18" i="1"/>
  <c r="P18" i="1"/>
  <c r="Q18" i="1"/>
  <c r="R18" i="1"/>
  <c r="S18" i="1"/>
  <c r="J23" i="4"/>
  <c r="J42" i="4" s="1"/>
  <c r="J23" i="18" s="1"/>
  <c r="E25" i="1"/>
  <c r="Q21" i="4" s="1"/>
  <c r="Q40" i="4" s="1"/>
  <c r="F25" i="1"/>
  <c r="R21" i="4" s="1"/>
  <c r="R40" i="4" s="1"/>
  <c r="R21" i="18" s="1"/>
  <c r="G25" i="1"/>
  <c r="S21" i="4" s="1"/>
  <c r="S40" i="4" s="1"/>
  <c r="S21" i="18" s="1"/>
  <c r="H25" i="1"/>
  <c r="T21" i="4" s="1"/>
  <c r="T40" i="4" s="1"/>
  <c r="T21" i="18" s="1"/>
  <c r="I25" i="1"/>
  <c r="U21" i="4" s="1"/>
  <c r="U40" i="4" s="1"/>
  <c r="U21" i="18" s="1"/>
  <c r="J25" i="1"/>
  <c r="V21" i="4" s="1"/>
  <c r="V40" i="4" s="1"/>
  <c r="V21" i="18" s="1"/>
  <c r="K25" i="1"/>
  <c r="W21" i="4" s="1"/>
  <c r="W40" i="4" s="1"/>
  <c r="W21" i="18" s="1"/>
  <c r="L25" i="1"/>
  <c r="X21" i="4" s="1"/>
  <c r="X40" i="4" s="1"/>
  <c r="X21" i="18" s="1"/>
  <c r="M25" i="1"/>
  <c r="Y21" i="4" s="1"/>
  <c r="Y40" i="4" s="1"/>
  <c r="Y21" i="18" s="1"/>
  <c r="N25" i="1"/>
  <c r="Z21" i="4" s="1"/>
  <c r="Z40" i="4" s="1"/>
  <c r="Z21" i="18" s="1"/>
  <c r="O25" i="1"/>
  <c r="P25" i="1"/>
  <c r="Q25" i="1"/>
  <c r="R25" i="1"/>
  <c r="S25" i="1"/>
  <c r="E22" i="1"/>
  <c r="Q18" i="4" s="1"/>
  <c r="Q37" i="4" s="1"/>
  <c r="I22" i="1"/>
  <c r="U18" i="4" s="1"/>
  <c r="F22" i="1"/>
  <c r="R18" i="4" s="1"/>
  <c r="G22" i="1"/>
  <c r="S18" i="4" s="1"/>
  <c r="H22" i="1"/>
  <c r="T18" i="4" s="1"/>
  <c r="J22" i="1"/>
  <c r="V18" i="4" s="1"/>
  <c r="V37" i="4" s="1"/>
  <c r="V18" i="18" s="1"/>
  <c r="K22" i="1"/>
  <c r="W18" i="4" s="1"/>
  <c r="W37" i="4" s="1"/>
  <c r="W18" i="18" s="1"/>
  <c r="L22" i="1"/>
  <c r="X18" i="4" s="1"/>
  <c r="X37" i="4" s="1"/>
  <c r="X18" i="18" s="1"/>
  <c r="M22" i="1"/>
  <c r="Y18" i="4" s="1"/>
  <c r="Y37" i="4" s="1"/>
  <c r="Y18" i="18" s="1"/>
  <c r="N22" i="1"/>
  <c r="Z18" i="4" s="1"/>
  <c r="Z37" i="4" s="1"/>
  <c r="Z18" i="18" s="1"/>
  <c r="O22" i="1"/>
  <c r="P22" i="1"/>
  <c r="Q22" i="1"/>
  <c r="R22" i="1"/>
  <c r="S22" i="1"/>
  <c r="E15" i="1"/>
  <c r="G15" i="1"/>
  <c r="L15" i="1"/>
  <c r="F15" i="1"/>
  <c r="H15" i="1"/>
  <c r="M15" i="1"/>
  <c r="I15" i="1"/>
  <c r="O15" i="1"/>
  <c r="P15" i="1"/>
  <c r="K15" i="1"/>
  <c r="Q15" i="1"/>
  <c r="J15" i="1"/>
  <c r="N15" i="1"/>
  <c r="R15" i="1"/>
  <c r="S15" i="1"/>
  <c r="I23" i="4"/>
  <c r="I42" i="4" s="1"/>
  <c r="I23" i="18" s="1"/>
  <c r="E17" i="1"/>
  <c r="K17" i="1"/>
  <c r="H17" i="1"/>
  <c r="I17" i="1"/>
  <c r="N17" i="1"/>
  <c r="M17" i="1"/>
  <c r="L17" i="1"/>
  <c r="F17" i="1"/>
  <c r="G17" i="1"/>
  <c r="J17" i="1"/>
  <c r="O17" i="1"/>
  <c r="P17" i="1"/>
  <c r="Q17" i="1"/>
  <c r="R17" i="1"/>
  <c r="S17" i="1"/>
  <c r="E14" i="1"/>
  <c r="I14" i="1"/>
  <c r="N14" i="1"/>
  <c r="G14" i="1"/>
  <c r="O14" i="1"/>
  <c r="R14" i="1"/>
  <c r="Q14" i="1"/>
  <c r="K14" i="1"/>
  <c r="J14" i="1"/>
  <c r="H14" i="1"/>
  <c r="M14" i="1"/>
  <c r="F14" i="1"/>
  <c r="P14" i="1"/>
  <c r="L14" i="1"/>
  <c r="S14" i="1"/>
  <c r="L23" i="4"/>
  <c r="L42" i="4" s="1"/>
  <c r="L23" i="18" s="1"/>
  <c r="H23" i="4"/>
  <c r="H42" i="4" s="1"/>
  <c r="H23" i="18" s="1"/>
  <c r="E21" i="1"/>
  <c r="Q17" i="4" s="1"/>
  <c r="I21" i="1"/>
  <c r="U17" i="4" s="1"/>
  <c r="H21" i="1"/>
  <c r="T17" i="4" s="1"/>
  <c r="F21" i="1"/>
  <c r="R17" i="4" s="1"/>
  <c r="R36" i="4" s="1"/>
  <c r="R17" i="18" s="1"/>
  <c r="J21" i="1"/>
  <c r="V17" i="4" s="1"/>
  <c r="G21" i="1"/>
  <c r="S17" i="4" s="1"/>
  <c r="K21" i="1"/>
  <c r="W17" i="4" s="1"/>
  <c r="L21" i="1"/>
  <c r="X17" i="4" s="1"/>
  <c r="M21" i="1"/>
  <c r="Y17" i="4" s="1"/>
  <c r="N21" i="1"/>
  <c r="Z17" i="4" s="1"/>
  <c r="O21" i="1"/>
  <c r="P21" i="1"/>
  <c r="Q21" i="1"/>
  <c r="R21" i="1"/>
  <c r="S21" i="1"/>
  <c r="E20" i="1"/>
  <c r="Q16" i="4" s="1"/>
  <c r="J20" i="1"/>
  <c r="V16" i="4" s="1"/>
  <c r="G20" i="1"/>
  <c r="S16" i="4" s="1"/>
  <c r="L20" i="1"/>
  <c r="X16" i="4" s="1"/>
  <c r="K20" i="1"/>
  <c r="W16" i="4" s="1"/>
  <c r="I20" i="1"/>
  <c r="U16" i="4" s="1"/>
  <c r="F20" i="1"/>
  <c r="R16" i="4" s="1"/>
  <c r="H20" i="1"/>
  <c r="T16" i="4" s="1"/>
  <c r="M20" i="1"/>
  <c r="Y16" i="4" s="1"/>
  <c r="N20" i="1"/>
  <c r="Z16" i="4" s="1"/>
  <c r="O20" i="1"/>
  <c r="P20" i="1"/>
  <c r="Q20" i="1"/>
  <c r="R20" i="1"/>
  <c r="S20" i="1"/>
  <c r="C18" i="4"/>
  <c r="C15" i="4" l="1"/>
  <c r="O41" i="18"/>
  <c r="AE42" i="18"/>
  <c r="C19" i="4"/>
  <c r="R37" i="4"/>
  <c r="R18" i="18" s="1"/>
  <c r="T35" i="4"/>
  <c r="T16" i="18" s="1"/>
  <c r="W35" i="4"/>
  <c r="W16" i="18" s="1"/>
  <c r="T36" i="4"/>
  <c r="T17" i="18" s="1"/>
  <c r="U37" i="4"/>
  <c r="U18" i="18" s="1"/>
  <c r="S35" i="4"/>
  <c r="S16" i="18" s="1"/>
  <c r="D14" i="4"/>
  <c r="R13" i="4"/>
  <c r="R32" i="4" s="1"/>
  <c r="J13" i="4"/>
  <c r="J14" i="4"/>
  <c r="X13" i="4"/>
  <c r="X32" i="4" s="1"/>
  <c r="E13" i="4"/>
  <c r="K14" i="4"/>
  <c r="Y13" i="4"/>
  <c r="I13" i="4"/>
  <c r="L14" i="4"/>
  <c r="Z13" i="4"/>
  <c r="Z32" i="4" s="1"/>
  <c r="H13" i="4"/>
  <c r="L13" i="4"/>
  <c r="G14" i="4"/>
  <c r="U13" i="4"/>
  <c r="U32" i="4" s="1"/>
  <c r="D13" i="4"/>
  <c r="F14" i="4"/>
  <c r="T13" i="4"/>
  <c r="T32" i="4" s="1"/>
  <c r="K13" i="4"/>
  <c r="H14" i="4"/>
  <c r="V13" i="4"/>
  <c r="V32" i="4" s="1"/>
  <c r="I14" i="4"/>
  <c r="W13" i="4"/>
  <c r="W32" i="4" s="1"/>
  <c r="F13" i="4"/>
  <c r="V35" i="4"/>
  <c r="V16" i="18" s="1"/>
  <c r="E14" i="4"/>
  <c r="S13" i="4"/>
  <c r="S32" i="4" s="1"/>
  <c r="C14" i="4"/>
  <c r="C33" i="4" s="1"/>
  <c r="C14" i="18" s="1"/>
  <c r="Q13" i="4"/>
  <c r="Q32" i="4" s="1"/>
  <c r="G13" i="4"/>
  <c r="C42" i="4"/>
  <c r="C23" i="18" s="1"/>
  <c r="M23" i="18" s="1"/>
  <c r="G22" i="11" s="1"/>
  <c r="Z36" i="4"/>
  <c r="Z17" i="18" s="1"/>
  <c r="U36" i="4"/>
  <c r="U17" i="18" s="1"/>
  <c r="C37" i="4"/>
  <c r="C18" i="18" s="1"/>
  <c r="U35" i="4"/>
  <c r="U16" i="18" s="1"/>
  <c r="Y36" i="4"/>
  <c r="Y17" i="18" s="1"/>
  <c r="V36" i="4"/>
  <c r="V17" i="18" s="1"/>
  <c r="Q36" i="4"/>
  <c r="Q17" i="18" s="1"/>
  <c r="Z35" i="4"/>
  <c r="Z16" i="18" s="1"/>
  <c r="W36" i="4"/>
  <c r="W17" i="18" s="1"/>
  <c r="S37" i="4"/>
  <c r="S18" i="18" s="1"/>
  <c r="W34" i="4"/>
  <c r="W15" i="18" s="1"/>
  <c r="S34" i="4"/>
  <c r="S15" i="18" s="1"/>
  <c r="X38" i="4"/>
  <c r="X19" i="18" s="1"/>
  <c r="T38" i="4"/>
  <c r="T19" i="18" s="1"/>
  <c r="Y33" i="4"/>
  <c r="Y14" i="18" s="1"/>
  <c r="Y32" i="4"/>
  <c r="S39" i="4"/>
  <c r="S20" i="18" s="1"/>
  <c r="Y35" i="4"/>
  <c r="Y16" i="18" s="1"/>
  <c r="Q35" i="4"/>
  <c r="R35" i="4"/>
  <c r="R16" i="18" s="1"/>
  <c r="S36" i="4"/>
  <c r="S17" i="18" s="1"/>
  <c r="T37" i="4"/>
  <c r="T18" i="18" s="1"/>
  <c r="Q18" i="18"/>
  <c r="U33" i="4"/>
  <c r="U14" i="18" s="1"/>
  <c r="W33" i="4"/>
  <c r="W14" i="18" s="1"/>
  <c r="Y34" i="4"/>
  <c r="Y15" i="18" s="1"/>
  <c r="R34" i="4"/>
  <c r="R15" i="18" s="1"/>
  <c r="Q34" i="4"/>
  <c r="X39" i="4"/>
  <c r="X20" i="18" s="1"/>
  <c r="T39" i="4"/>
  <c r="T20" i="18" s="1"/>
  <c r="Y38" i="4"/>
  <c r="Y19" i="18" s="1"/>
  <c r="U38" i="4"/>
  <c r="U19" i="18" s="1"/>
  <c r="Q38" i="4"/>
  <c r="Z33" i="4"/>
  <c r="Z14" i="18" s="1"/>
  <c r="S33" i="4"/>
  <c r="S14" i="18" s="1"/>
  <c r="V33" i="4"/>
  <c r="V14" i="18" s="1"/>
  <c r="T33" i="4"/>
  <c r="T14" i="18" s="1"/>
  <c r="T34" i="4"/>
  <c r="T15" i="18" s="1"/>
  <c r="X34" i="4"/>
  <c r="X15" i="18" s="1"/>
  <c r="Z39" i="4"/>
  <c r="Z20" i="18" s="1"/>
  <c r="V39" i="4"/>
  <c r="V20" i="18" s="1"/>
  <c r="R39" i="4"/>
  <c r="W38" i="4"/>
  <c r="W19" i="18" s="1"/>
  <c r="S38" i="4"/>
  <c r="S19" i="18" s="1"/>
  <c r="W39" i="4"/>
  <c r="W20" i="18" s="1"/>
  <c r="X36" i="4"/>
  <c r="X17" i="18" s="1"/>
  <c r="X35" i="4"/>
  <c r="X16" i="18" s="1"/>
  <c r="Q21" i="18"/>
  <c r="P40" i="4"/>
  <c r="P21" i="18" s="1"/>
  <c r="X33" i="4"/>
  <c r="X14" i="18" s="1"/>
  <c r="R33" i="4"/>
  <c r="R14" i="18" s="1"/>
  <c r="Q33" i="4"/>
  <c r="Z34" i="4"/>
  <c r="Z15" i="18" s="1"/>
  <c r="U34" i="4"/>
  <c r="U15" i="18" s="1"/>
  <c r="V34" i="4"/>
  <c r="V15" i="18" s="1"/>
  <c r="Y39" i="4"/>
  <c r="Y20" i="18" s="1"/>
  <c r="U39" i="4"/>
  <c r="U20" i="18" s="1"/>
  <c r="Q39" i="4"/>
  <c r="Q20" i="18" s="1"/>
  <c r="Z38" i="4"/>
  <c r="Z19" i="18" s="1"/>
  <c r="V38" i="4"/>
  <c r="V19" i="18" s="1"/>
  <c r="R38" i="4"/>
  <c r="R19" i="18" s="1"/>
  <c r="T14" i="1"/>
  <c r="T13" i="1"/>
  <c r="C13" i="4"/>
  <c r="T16" i="1"/>
  <c r="T15" i="1"/>
  <c r="C17" i="4"/>
  <c r="C36" i="4" s="1"/>
  <c r="C16" i="4"/>
  <c r="C20" i="4"/>
  <c r="F12" i="18"/>
  <c r="S12" i="18"/>
  <c r="C22" i="4"/>
  <c r="C41" i="4" s="1"/>
  <c r="Q12" i="11"/>
  <c r="J20" i="4"/>
  <c r="G17" i="4"/>
  <c r="H18" i="4"/>
  <c r="I19" i="4"/>
  <c r="H22" i="4"/>
  <c r="H41" i="4" s="1"/>
  <c r="H22" i="18" s="1"/>
  <c r="L15" i="4"/>
  <c r="D16" i="4"/>
  <c r="F21" i="4"/>
  <c r="I20" i="4"/>
  <c r="I17" i="4"/>
  <c r="H19" i="4"/>
  <c r="G22" i="4"/>
  <c r="G41" i="4" s="1"/>
  <c r="G22" i="18" s="1"/>
  <c r="H15" i="4"/>
  <c r="E16" i="4"/>
  <c r="E21" i="4"/>
  <c r="H20" i="4"/>
  <c r="J19" i="4"/>
  <c r="J38" i="4" s="1"/>
  <c r="J19" i="18" s="1"/>
  <c r="G16" i="4"/>
  <c r="J17" i="4"/>
  <c r="F18" i="4"/>
  <c r="F19" i="4"/>
  <c r="F22" i="4"/>
  <c r="F41" i="4" s="1"/>
  <c r="F22" i="18" s="1"/>
  <c r="D15" i="4"/>
  <c r="D34" i="4" s="1"/>
  <c r="D15" i="18" s="1"/>
  <c r="J16" i="4"/>
  <c r="L21" i="4"/>
  <c r="D21" i="4"/>
  <c r="G20" i="4"/>
  <c r="G15" i="4"/>
  <c r="G21" i="4"/>
  <c r="E17" i="4"/>
  <c r="L18" i="4"/>
  <c r="G18" i="4"/>
  <c r="E19" i="4"/>
  <c r="E22" i="4"/>
  <c r="E41" i="4" s="1"/>
  <c r="E22" i="18" s="1"/>
  <c r="I15" i="4"/>
  <c r="L16" i="4"/>
  <c r="H16" i="4"/>
  <c r="K21" i="4"/>
  <c r="T24" i="1"/>
  <c r="C21" i="4"/>
  <c r="F20" i="4"/>
  <c r="E18" i="4"/>
  <c r="L17" i="4"/>
  <c r="H17" i="4"/>
  <c r="K18" i="4"/>
  <c r="T21" i="1"/>
  <c r="D19" i="4"/>
  <c r="L22" i="4"/>
  <c r="L41" i="4" s="1"/>
  <c r="L22" i="18" s="1"/>
  <c r="D22" i="4"/>
  <c r="D41" i="4" s="1"/>
  <c r="D22" i="18" s="1"/>
  <c r="K15" i="4"/>
  <c r="K16" i="4"/>
  <c r="T19" i="1"/>
  <c r="J21" i="4"/>
  <c r="E20" i="4"/>
  <c r="D17" i="4"/>
  <c r="I22" i="4"/>
  <c r="I41" i="4" s="1"/>
  <c r="I22" i="18" s="1"/>
  <c r="K17" i="4"/>
  <c r="T20" i="1"/>
  <c r="J18" i="4"/>
  <c r="L19" i="4"/>
  <c r="G19" i="4"/>
  <c r="K22" i="4"/>
  <c r="K41" i="4" s="1"/>
  <c r="K22" i="18" s="1"/>
  <c r="T25" i="1"/>
  <c r="E15" i="4"/>
  <c r="F15" i="4"/>
  <c r="I16" i="4"/>
  <c r="I35" i="4" s="1"/>
  <c r="I16" i="18" s="1"/>
  <c r="I21" i="4"/>
  <c r="L20" i="4"/>
  <c r="D20" i="4"/>
  <c r="D18" i="4"/>
  <c r="F17" i="4"/>
  <c r="I18" i="4"/>
  <c r="T17" i="1"/>
  <c r="K19" i="4"/>
  <c r="T22" i="1"/>
  <c r="J22" i="4"/>
  <c r="J41" i="4" s="1"/>
  <c r="J22" i="18" s="1"/>
  <c r="J15" i="4"/>
  <c r="T18" i="1"/>
  <c r="F16" i="4"/>
  <c r="F35" i="4" s="1"/>
  <c r="F16" i="18" s="1"/>
  <c r="H21" i="4"/>
  <c r="K20" i="4"/>
  <c r="T23" i="1"/>
  <c r="O40" i="18" l="1"/>
  <c r="AE41" i="18"/>
  <c r="L32" i="4"/>
  <c r="L13" i="18" s="1"/>
  <c r="K32" i="4"/>
  <c r="K13" i="18" s="1"/>
  <c r="F32" i="4"/>
  <c r="F13" i="18" s="1"/>
  <c r="I32" i="4"/>
  <c r="I13" i="18" s="1"/>
  <c r="B42" i="4"/>
  <c r="B23" i="18" s="1"/>
  <c r="G32" i="4"/>
  <c r="G13" i="18" s="1"/>
  <c r="E32" i="4"/>
  <c r="E13" i="18" s="1"/>
  <c r="J32" i="4"/>
  <c r="J13" i="18" s="1"/>
  <c r="H32" i="4"/>
  <c r="H13" i="18" s="1"/>
  <c r="I37" i="4"/>
  <c r="I18" i="18" s="1"/>
  <c r="D32" i="4"/>
  <c r="D13" i="18" s="1"/>
  <c r="K36" i="4"/>
  <c r="K17" i="18" s="1"/>
  <c r="G33" i="4"/>
  <c r="G14" i="18" s="1"/>
  <c r="L36" i="4"/>
  <c r="L17" i="18" s="1"/>
  <c r="F39" i="4"/>
  <c r="F20" i="18" s="1"/>
  <c r="J34" i="4"/>
  <c r="J15" i="18" s="1"/>
  <c r="L34" i="4"/>
  <c r="L15" i="18" s="1"/>
  <c r="G36" i="4"/>
  <c r="G17" i="18" s="1"/>
  <c r="J40" i="4"/>
  <c r="J21" i="18" s="1"/>
  <c r="H35" i="4"/>
  <c r="H16" i="18" s="1"/>
  <c r="G40" i="4"/>
  <c r="G21" i="18" s="1"/>
  <c r="L40" i="4"/>
  <c r="L21" i="18" s="1"/>
  <c r="C35" i="4"/>
  <c r="C16" i="18" s="1"/>
  <c r="D37" i="4"/>
  <c r="D18" i="18" s="1"/>
  <c r="E39" i="4"/>
  <c r="E20" i="18" s="1"/>
  <c r="K34" i="4"/>
  <c r="K15" i="18" s="1"/>
  <c r="F34" i="4"/>
  <c r="F15" i="18" s="1"/>
  <c r="G38" i="4"/>
  <c r="G19" i="18" s="1"/>
  <c r="H36" i="4"/>
  <c r="H17" i="18" s="1"/>
  <c r="I39" i="4"/>
  <c r="I20" i="18" s="1"/>
  <c r="P36" i="4"/>
  <c r="P17" i="18" s="1"/>
  <c r="K39" i="4"/>
  <c r="K20" i="18" s="1"/>
  <c r="D39" i="4"/>
  <c r="D20" i="18" s="1"/>
  <c r="E38" i="4"/>
  <c r="E19" i="18" s="1"/>
  <c r="H40" i="4"/>
  <c r="H21" i="18" s="1"/>
  <c r="F36" i="4"/>
  <c r="F17" i="18" s="1"/>
  <c r="I40" i="4"/>
  <c r="I21" i="18" s="1"/>
  <c r="L37" i="4"/>
  <c r="L18" i="18" s="1"/>
  <c r="H38" i="4"/>
  <c r="H19" i="18" s="1"/>
  <c r="P37" i="4"/>
  <c r="P18" i="18" s="1"/>
  <c r="K37" i="4"/>
  <c r="K18" i="18" s="1"/>
  <c r="H34" i="4"/>
  <c r="H15" i="18" s="1"/>
  <c r="J37" i="4"/>
  <c r="J18" i="18" s="1"/>
  <c r="D36" i="4"/>
  <c r="D17" i="18" s="1"/>
  <c r="K35" i="4"/>
  <c r="K16" i="18" s="1"/>
  <c r="D38" i="4"/>
  <c r="D19" i="18" s="1"/>
  <c r="I34" i="4"/>
  <c r="I15" i="18" s="1"/>
  <c r="G39" i="4"/>
  <c r="G20" i="18" s="1"/>
  <c r="J36" i="4"/>
  <c r="J17" i="18" s="1"/>
  <c r="E40" i="4"/>
  <c r="E21" i="18" s="1"/>
  <c r="D35" i="4"/>
  <c r="D16" i="18" s="1"/>
  <c r="I38" i="4"/>
  <c r="I19" i="18" s="1"/>
  <c r="P32" i="4"/>
  <c r="R13" i="18"/>
  <c r="H33" i="4"/>
  <c r="H14" i="18" s="1"/>
  <c r="P35" i="4"/>
  <c r="P16" i="18" s="1"/>
  <c r="Q16" i="18"/>
  <c r="AA16" i="18" s="1"/>
  <c r="R15" i="11" s="1"/>
  <c r="S15" i="11" s="1"/>
  <c r="K38" i="4"/>
  <c r="K19" i="18" s="1"/>
  <c r="E37" i="4"/>
  <c r="E18" i="18" s="1"/>
  <c r="K40" i="4"/>
  <c r="K21" i="18" s="1"/>
  <c r="E36" i="4"/>
  <c r="E17" i="18" s="1"/>
  <c r="D40" i="4"/>
  <c r="D21" i="18" s="1"/>
  <c r="G35" i="4"/>
  <c r="G16" i="18" s="1"/>
  <c r="E35" i="4"/>
  <c r="E16" i="18" s="1"/>
  <c r="I36" i="4"/>
  <c r="I17" i="18" s="1"/>
  <c r="H37" i="4"/>
  <c r="H18" i="18" s="1"/>
  <c r="C39" i="4"/>
  <c r="V13" i="18"/>
  <c r="Z13" i="18"/>
  <c r="U13" i="18"/>
  <c r="L33" i="4"/>
  <c r="L14" i="18" s="1"/>
  <c r="Q13" i="18"/>
  <c r="X13" i="18"/>
  <c r="F33" i="4"/>
  <c r="F14" i="18" s="1"/>
  <c r="C34" i="4"/>
  <c r="P39" i="4"/>
  <c r="P20" i="18" s="1"/>
  <c r="R20" i="18"/>
  <c r="AA20" i="18" s="1"/>
  <c r="R19" i="11" s="1"/>
  <c r="S19" i="11" s="1"/>
  <c r="P38" i="4"/>
  <c r="P19" i="18" s="1"/>
  <c r="Q19" i="18"/>
  <c r="AA19" i="18" s="1"/>
  <c r="R18" i="11" s="1"/>
  <c r="S18" i="11" s="1"/>
  <c r="I33" i="4"/>
  <c r="I14" i="18" s="1"/>
  <c r="F38" i="4"/>
  <c r="F19" i="18" s="1"/>
  <c r="C22" i="18"/>
  <c r="M22" i="18" s="1"/>
  <c r="G21" i="11" s="1"/>
  <c r="B41" i="4"/>
  <c r="L39" i="4"/>
  <c r="L20" i="18" s="1"/>
  <c r="E34" i="4"/>
  <c r="E15" i="18" s="1"/>
  <c r="L38" i="4"/>
  <c r="L19" i="18" s="1"/>
  <c r="C40" i="4"/>
  <c r="L35" i="4"/>
  <c r="L16" i="18" s="1"/>
  <c r="G37" i="4"/>
  <c r="G18" i="18" s="1"/>
  <c r="G34" i="4"/>
  <c r="G15" i="18" s="1"/>
  <c r="J35" i="4"/>
  <c r="J16" i="18" s="1"/>
  <c r="F37" i="4"/>
  <c r="F18" i="18" s="1"/>
  <c r="H39" i="4"/>
  <c r="H20" i="18" s="1"/>
  <c r="F40" i="4"/>
  <c r="F21" i="18" s="1"/>
  <c r="J39" i="4"/>
  <c r="J20" i="18" s="1"/>
  <c r="C17" i="18"/>
  <c r="P33" i="4"/>
  <c r="P14" i="18" s="1"/>
  <c r="Q14" i="18"/>
  <c r="AA14" i="18" s="1"/>
  <c r="R13" i="11" s="1"/>
  <c r="S13" i="11" s="1"/>
  <c r="J33" i="4"/>
  <c r="J14" i="18" s="1"/>
  <c r="C38" i="4"/>
  <c r="T13" i="18"/>
  <c r="S13" i="18"/>
  <c r="E33" i="4"/>
  <c r="E14" i="18" s="1"/>
  <c r="P34" i="4"/>
  <c r="P15" i="18" s="1"/>
  <c r="Q15" i="18"/>
  <c r="AA15" i="18" s="1"/>
  <c r="R14" i="11" s="1"/>
  <c r="S14" i="11" s="1"/>
  <c r="W13" i="18"/>
  <c r="K33" i="4"/>
  <c r="K14" i="18" s="1"/>
  <c r="D33" i="4"/>
  <c r="Y13" i="18"/>
  <c r="C32" i="4"/>
  <c r="T12" i="18"/>
  <c r="G12" i="18"/>
  <c r="C24" i="4"/>
  <c r="H22" i="11"/>
  <c r="I22" i="11" s="1"/>
  <c r="L24" i="4"/>
  <c r="K24" i="4"/>
  <c r="D24" i="4"/>
  <c r="AA21" i="18"/>
  <c r="R20" i="11" s="1"/>
  <c r="S20" i="11" s="1"/>
  <c r="J24" i="4"/>
  <c r="G24" i="4"/>
  <c r="F24" i="4"/>
  <c r="AA17" i="18"/>
  <c r="R16" i="11" s="1"/>
  <c r="S16" i="11" s="1"/>
  <c r="I24" i="4"/>
  <c r="AA18" i="18"/>
  <c r="R17" i="11" s="1"/>
  <c r="S17" i="11" s="1"/>
  <c r="E24" i="4"/>
  <c r="H24" i="4"/>
  <c r="O39" i="18" l="1"/>
  <c r="AE40" i="18"/>
  <c r="B22" i="11"/>
  <c r="F22" i="11" s="1"/>
  <c r="C14" i="19" a="1"/>
  <c r="C14" i="19" s="1"/>
  <c r="B36" i="4"/>
  <c r="E24" i="18"/>
  <c r="M17" i="18"/>
  <c r="G16" i="11" s="1"/>
  <c r="H16" i="11" s="1"/>
  <c r="I16" i="11" s="1"/>
  <c r="I24" i="18"/>
  <c r="D43" i="4"/>
  <c r="J24" i="18"/>
  <c r="K24" i="18"/>
  <c r="M16" i="18"/>
  <c r="G15" i="11" s="1"/>
  <c r="H15" i="11" s="1"/>
  <c r="I15" i="11" s="1"/>
  <c r="L24" i="18"/>
  <c r="H24" i="18"/>
  <c r="F43" i="4"/>
  <c r="M18" i="18"/>
  <c r="G17" i="11" s="1"/>
  <c r="H17" i="11" s="1"/>
  <c r="I17" i="11" s="1"/>
  <c r="G24" i="18"/>
  <c r="H43" i="4"/>
  <c r="J43" i="4"/>
  <c r="B32" i="4"/>
  <c r="C13" i="18"/>
  <c r="M13" i="18" s="1"/>
  <c r="G12" i="11" s="1"/>
  <c r="H12" i="11" s="1"/>
  <c r="I12" i="11" s="1"/>
  <c r="B21" i="11"/>
  <c r="F21" i="11" s="1"/>
  <c r="B22" i="18"/>
  <c r="C15" i="18"/>
  <c r="M15" i="18" s="1"/>
  <c r="B34" i="4"/>
  <c r="C20" i="18"/>
  <c r="M20" i="18" s="1"/>
  <c r="G19" i="11" s="1"/>
  <c r="H19" i="11" s="1"/>
  <c r="I19" i="11" s="1"/>
  <c r="B39" i="4"/>
  <c r="P13" i="18"/>
  <c r="I43" i="4"/>
  <c r="D14" i="18"/>
  <c r="B33" i="4"/>
  <c r="G43" i="4"/>
  <c r="AA13" i="18"/>
  <c r="R12" i="11" s="1"/>
  <c r="S12" i="11" s="1"/>
  <c r="T12" i="11" s="1"/>
  <c r="B37" i="4"/>
  <c r="L43" i="4"/>
  <c r="C19" i="18"/>
  <c r="M19" i="18" s="1"/>
  <c r="G18" i="11" s="1"/>
  <c r="H18" i="11" s="1"/>
  <c r="I18" i="11" s="1"/>
  <c r="B38" i="4"/>
  <c r="C21" i="18"/>
  <c r="M21" i="18" s="1"/>
  <c r="G20" i="11" s="1"/>
  <c r="H20" i="11" s="1"/>
  <c r="I20" i="11" s="1"/>
  <c r="B40" i="4"/>
  <c r="B35" i="4"/>
  <c r="E43" i="4"/>
  <c r="K43" i="4"/>
  <c r="C43" i="4"/>
  <c r="H12" i="18"/>
  <c r="U12" i="18"/>
  <c r="T20" i="11"/>
  <c r="T18" i="11"/>
  <c r="T14" i="11"/>
  <c r="T15" i="11"/>
  <c r="T16" i="11"/>
  <c r="T17" i="11"/>
  <c r="T19" i="11"/>
  <c r="H21" i="11"/>
  <c r="I21" i="11" s="1"/>
  <c r="F24" i="18"/>
  <c r="O38" i="18" l="1"/>
  <c r="AE39" i="18"/>
  <c r="C16" i="19"/>
  <c r="C17" i="19"/>
  <c r="C18" i="19"/>
  <c r="C19" i="19"/>
  <c r="C20" i="19"/>
  <c r="C22" i="19"/>
  <c r="B17" i="18"/>
  <c r="C23" i="19"/>
  <c r="E23" i="19" s="1"/>
  <c r="G23" i="19" s="1"/>
  <c r="C21" i="19"/>
  <c r="B16" i="11"/>
  <c r="F16" i="11" s="1"/>
  <c r="C15" i="19"/>
  <c r="B19" i="18"/>
  <c r="B18" i="11"/>
  <c r="F18" i="11" s="1"/>
  <c r="B17" i="11"/>
  <c r="F17" i="11" s="1"/>
  <c r="B18" i="18"/>
  <c r="M14" i="18"/>
  <c r="G13" i="11" s="1"/>
  <c r="H13" i="11" s="1"/>
  <c r="I13" i="11" s="1"/>
  <c r="D24" i="18"/>
  <c r="B15" i="18"/>
  <c r="B14" i="11"/>
  <c r="F14" i="11" s="1"/>
  <c r="B16" i="18"/>
  <c r="B15" i="11"/>
  <c r="F15" i="11" s="1"/>
  <c r="C24" i="18"/>
  <c r="B20" i="11"/>
  <c r="F20" i="11" s="1"/>
  <c r="B21" i="18"/>
  <c r="B20" i="18"/>
  <c r="B19" i="11"/>
  <c r="F19" i="11" s="1"/>
  <c r="B13" i="11"/>
  <c r="F13" i="11" s="1"/>
  <c r="B14" i="18"/>
  <c r="B12" i="11"/>
  <c r="F12" i="11" s="1"/>
  <c r="B13" i="18"/>
  <c r="B43" i="4"/>
  <c r="I12" i="18"/>
  <c r="V12" i="18"/>
  <c r="T13" i="11"/>
  <c r="G14" i="11"/>
  <c r="O37" i="18" l="1"/>
  <c r="AE38" i="18"/>
  <c r="E22" i="19"/>
  <c r="G22" i="19" s="1"/>
  <c r="E19" i="19"/>
  <c r="G19" i="19" s="1"/>
  <c r="E14" i="19"/>
  <c r="C24" i="19"/>
  <c r="E18" i="19"/>
  <c r="G18" i="19" s="1"/>
  <c r="E21" i="19"/>
  <c r="G21" i="19" s="1"/>
  <c r="E20" i="19"/>
  <c r="G20" i="19" s="1"/>
  <c r="E17" i="19"/>
  <c r="G17" i="19" s="1"/>
  <c r="E16" i="19"/>
  <c r="G16" i="19" s="1"/>
  <c r="E15" i="19"/>
  <c r="G15" i="19" s="1"/>
  <c r="G23" i="11"/>
  <c r="B24" i="18"/>
  <c r="F23" i="11"/>
  <c r="B23" i="11"/>
  <c r="D16" i="17" s="1"/>
  <c r="G16" i="17" s="1"/>
  <c r="M24" i="18"/>
  <c r="J12" i="18"/>
  <c r="W12" i="18"/>
  <c r="H14" i="11"/>
  <c r="H23" i="11" s="1"/>
  <c r="O36" i="18" l="1"/>
  <c r="AE37" i="18"/>
  <c r="O14" i="19"/>
  <c r="G14" i="19"/>
  <c r="E24" i="19"/>
  <c r="K12" i="18"/>
  <c r="X12" i="18"/>
  <c r="I14" i="11"/>
  <c r="I23" i="11" s="1"/>
  <c r="O35" i="18" l="1"/>
  <c r="AE36" i="18"/>
  <c r="J14" i="19"/>
  <c r="K14" i="19" s="1"/>
  <c r="L14" i="19"/>
  <c r="M14" i="19" s="1"/>
  <c r="I14" i="19"/>
  <c r="O15" i="19"/>
  <c r="E36" i="19" s="1"/>
  <c r="L15" i="19"/>
  <c r="G24" i="19"/>
  <c r="E35" i="19"/>
  <c r="Y12" i="18"/>
  <c r="L12" i="18"/>
  <c r="O34" i="18" l="1"/>
  <c r="AE35" i="18"/>
  <c r="M15" i="19"/>
  <c r="J15" i="19"/>
  <c r="K15" i="19" s="1"/>
  <c r="I15" i="19"/>
  <c r="U13" i="19"/>
  <c r="Z12" i="18"/>
  <c r="O33" i="18" l="1"/>
  <c r="AE33" i="18" s="1"/>
  <c r="AE34" i="18"/>
  <c r="O16" i="19"/>
  <c r="E37" i="19" s="1"/>
  <c r="L16" i="19"/>
  <c r="O17" i="19" l="1"/>
  <c r="E38" i="19" s="1"/>
  <c r="L17" i="19"/>
  <c r="I16" i="19"/>
  <c r="J16" i="19"/>
  <c r="K16" i="19" s="1"/>
  <c r="M16" i="19"/>
  <c r="J17" i="19" l="1"/>
  <c r="K17" i="19" s="1"/>
  <c r="I17" i="19"/>
  <c r="M17" i="19"/>
  <c r="O18" i="19"/>
  <c r="E39" i="19" s="1"/>
  <c r="L18" i="19"/>
  <c r="O19" i="19" l="1"/>
  <c r="E40" i="19" s="1"/>
  <c r="L19" i="19"/>
  <c r="J18" i="19"/>
  <c r="K18" i="19" s="1"/>
  <c r="I18" i="19"/>
  <c r="M18" i="19"/>
  <c r="I19" i="19" l="1"/>
  <c r="J19" i="19"/>
  <c r="K19" i="19" s="1"/>
  <c r="M19" i="19"/>
  <c r="O20" i="19"/>
  <c r="E41" i="19" s="1"/>
  <c r="L20" i="19"/>
  <c r="I20" i="19" l="1"/>
  <c r="J20" i="19"/>
  <c r="K20" i="19" s="1"/>
  <c r="M20" i="19"/>
  <c r="L21" i="19"/>
  <c r="O21" i="19"/>
  <c r="E42" i="19" s="1"/>
  <c r="O23" i="19" l="1"/>
  <c r="I21" i="19"/>
  <c r="J21" i="19"/>
  <c r="K21" i="19" s="1"/>
  <c r="M21" i="19"/>
  <c r="L22" i="19" l="1"/>
  <c r="O22" i="19"/>
  <c r="E43" i="19" s="1"/>
  <c r="I23" i="19"/>
  <c r="J23" i="19"/>
  <c r="K23" i="19" s="1"/>
  <c r="Q47" i="4" a="1"/>
  <c r="E44" i="19" l="1"/>
  <c r="Y47" i="4"/>
  <c r="Y54" i="4" s="1"/>
  <c r="Z47" i="4"/>
  <c r="Z54" i="4" s="1"/>
  <c r="Q47" i="4"/>
  <c r="Q54" i="4" s="1"/>
  <c r="T47" i="4"/>
  <c r="T54" i="4" s="1"/>
  <c r="S47" i="4"/>
  <c r="S54" i="4" s="1"/>
  <c r="R47" i="4"/>
  <c r="R54" i="4" s="1"/>
  <c r="U47" i="4"/>
  <c r="U54" i="4" s="1"/>
  <c r="V47" i="4"/>
  <c r="V54" i="4" s="1"/>
  <c r="X47" i="4"/>
  <c r="X54" i="4" s="1"/>
  <c r="W47" i="4"/>
  <c r="W54" i="4" s="1"/>
  <c r="J22" i="19"/>
  <c r="K22" i="19" s="1"/>
  <c r="I22" i="19"/>
  <c r="M22" i="19"/>
  <c r="AA39" i="4" l="1"/>
  <c r="AA18" i="4"/>
  <c r="N17" i="11" s="1"/>
  <c r="O17" i="11" s="1"/>
  <c r="P17" i="11" s="1"/>
  <c r="U17" i="11" s="1"/>
  <c r="AA21" i="4"/>
  <c r="N20" i="11" s="1"/>
  <c r="O20" i="11" s="1"/>
  <c r="P20" i="11" s="1"/>
  <c r="U20" i="11" s="1"/>
  <c r="AA38" i="4"/>
  <c r="AA40" i="4"/>
  <c r="AA19" i="4"/>
  <c r="N18" i="11" s="1"/>
  <c r="O18" i="11" s="1"/>
  <c r="P18" i="11" s="1"/>
  <c r="U18" i="11" s="1"/>
  <c r="AA34" i="4"/>
  <c r="AA22" i="4"/>
  <c r="N21" i="11" s="1"/>
  <c r="O21" i="11" s="1"/>
  <c r="P21" i="11" s="1"/>
  <c r="AA16" i="4"/>
  <c r="N15" i="11" s="1"/>
  <c r="O15" i="11" s="1"/>
  <c r="P15" i="11" s="1"/>
  <c r="U15" i="11" s="1"/>
  <c r="AA35" i="4"/>
  <c r="AA20" i="4"/>
  <c r="N19" i="11" s="1"/>
  <c r="O19" i="11" s="1"/>
  <c r="P19" i="11" s="1"/>
  <c r="U19" i="11" s="1"/>
  <c r="AA14" i="4"/>
  <c r="N13" i="11" s="1"/>
  <c r="O13" i="11" s="1"/>
  <c r="P13" i="11" s="1"/>
  <c r="AA32" i="4"/>
  <c r="AA15" i="4"/>
  <c r="N14" i="11" s="1"/>
  <c r="O14" i="11" s="1"/>
  <c r="P14" i="11" s="1"/>
  <c r="U14" i="11" s="1"/>
  <c r="AA33" i="4"/>
  <c r="AA17" i="4"/>
  <c r="N16" i="11" s="1"/>
  <c r="O16" i="11" s="1"/>
  <c r="P16" i="11" s="1"/>
  <c r="U16" i="11" s="1"/>
  <c r="AA13" i="4"/>
  <c r="N12" i="11" s="1"/>
  <c r="O12" i="11" s="1"/>
  <c r="P12" i="11" s="1"/>
  <c r="U12" i="11" s="1"/>
  <c r="AA37" i="4"/>
  <c r="AA36" i="4"/>
  <c r="U13" i="11" l="1"/>
  <c r="E54" i="4" l="1"/>
  <c r="J54" i="4"/>
  <c r="C54" i="4"/>
  <c r="H54" i="4"/>
  <c r="L54" i="4"/>
  <c r="I54" i="4"/>
  <c r="K54" i="4"/>
  <c r="D54" i="4"/>
  <c r="G54" i="4"/>
  <c r="F54" i="4"/>
  <c r="M42" i="4" l="1"/>
  <c r="C22" i="11" s="1"/>
  <c r="M41" i="4"/>
  <c r="C21" i="11" s="1"/>
  <c r="M36" i="4"/>
  <c r="C16" i="11" s="1"/>
  <c r="M35" i="4"/>
  <c r="C15" i="11" s="1"/>
  <c r="M33" i="4"/>
  <c r="C13" i="11" s="1"/>
  <c r="M38" i="4"/>
  <c r="C18" i="11" s="1"/>
  <c r="M34" i="4"/>
  <c r="C14" i="11" s="1"/>
  <c r="M32" i="4"/>
  <c r="C12" i="11" s="1"/>
  <c r="M39" i="4"/>
  <c r="C19" i="11" s="1"/>
  <c r="M37" i="4"/>
  <c r="C17" i="11" s="1"/>
  <c r="M40" i="4"/>
  <c r="C20" i="11" s="1"/>
  <c r="M21" i="4"/>
  <c r="M19" i="4"/>
  <c r="M18" i="4"/>
  <c r="M13" i="4"/>
  <c r="M16" i="4"/>
  <c r="M17" i="4"/>
  <c r="M14" i="4"/>
  <c r="M23" i="4"/>
  <c r="M20" i="4"/>
  <c r="M15" i="4"/>
  <c r="M22" i="4"/>
  <c r="D19" i="11" l="1"/>
  <c r="E19" i="11" s="1"/>
  <c r="J19" i="11" s="1"/>
  <c r="D22" i="11"/>
  <c r="E22" i="11" s="1"/>
  <c r="J22" i="11" s="1"/>
  <c r="D16" i="11"/>
  <c r="E16" i="11" s="1"/>
  <c r="J16" i="11" s="1"/>
  <c r="D17" i="11"/>
  <c r="E17" i="11" s="1"/>
  <c r="J17" i="11" s="1"/>
  <c r="D21" i="11"/>
  <c r="E21" i="11" s="1"/>
  <c r="J21" i="11" s="1"/>
  <c r="D15" i="11"/>
  <c r="E15" i="11" s="1"/>
  <c r="J15" i="11" s="1"/>
  <c r="D13" i="11"/>
  <c r="E13" i="11" s="1"/>
  <c r="J13" i="11" s="1"/>
  <c r="D12" i="11"/>
  <c r="E12" i="11" s="1"/>
  <c r="J12" i="11" s="1"/>
  <c r="D20" i="11"/>
  <c r="E20" i="11" s="1"/>
  <c r="J20" i="11" s="1"/>
  <c r="M43" i="4"/>
  <c r="C23" i="11"/>
  <c r="D18" i="11"/>
  <c r="E18" i="11" s="1"/>
  <c r="J18" i="11" s="1"/>
  <c r="D14" i="11"/>
  <c r="E14" i="11" s="1"/>
  <c r="J14" i="11" s="1"/>
  <c r="M24" i="4"/>
  <c r="G21" i="17" l="1"/>
  <c r="D17" i="17"/>
  <c r="D23" i="11"/>
  <c r="D18" i="17" s="1"/>
  <c r="G18" i="17" s="1"/>
  <c r="G17" i="17" l="1"/>
  <c r="G19" i="17" s="1"/>
  <c r="G49" i="17" s="1"/>
  <c r="D19" i="17"/>
  <c r="D49" i="17" s="1"/>
  <c r="J23" i="11" l="1"/>
  <c r="E23" i="11"/>
  <c r="P24" i="4" l="1"/>
  <c r="Z23" i="4"/>
  <c r="Z24" i="4" s="1"/>
  <c r="V23" i="4"/>
  <c r="V24" i="4" s="1"/>
  <c r="U23" i="4"/>
  <c r="U24" i="4" s="1"/>
  <c r="S23" i="4"/>
  <c r="S42" i="4" s="1"/>
  <c r="Y23" i="4"/>
  <c r="Y42" i="4" s="1"/>
  <c r="T23" i="4"/>
  <c r="T42" i="4" s="1"/>
  <c r="W23" i="4"/>
  <c r="W42" i="4" s="1"/>
  <c r="M22" i="11"/>
  <c r="M23" i="11" s="1"/>
  <c r="E16" i="17" s="1"/>
  <c r="X23" i="4"/>
  <c r="X42" i="4" s="1"/>
  <c r="X41" i="4"/>
  <c r="X43" i="4" s="1"/>
  <c r="R23" i="4"/>
  <c r="R24" i="4" s="1"/>
  <c r="Q23" i="4"/>
  <c r="Q42" i="4" s="1"/>
  <c r="R41" i="4" l="1"/>
  <c r="R22" i="18" s="1"/>
  <c r="R24" i="18" s="1"/>
  <c r="V42" i="4"/>
  <c r="X24" i="4"/>
  <c r="R42" i="4"/>
  <c r="R43" i="4" s="1"/>
  <c r="S24" i="4"/>
  <c r="Z42" i="4"/>
  <c r="S41" i="4"/>
  <c r="S22" i="18" s="1"/>
  <c r="S24" i="18" s="1"/>
  <c r="V41" i="4"/>
  <c r="V22" i="18" s="1"/>
  <c r="V24" i="18" s="1"/>
  <c r="Z41" i="4"/>
  <c r="Z22" i="18" s="1"/>
  <c r="Z24" i="18" s="1"/>
  <c r="Q24" i="4"/>
  <c r="X22" i="18"/>
  <c r="X24" i="18" s="1"/>
  <c r="Q22" i="11"/>
  <c r="Q23" i="11" s="1"/>
  <c r="W41" i="4"/>
  <c r="T41" i="4"/>
  <c r="Y41" i="4"/>
  <c r="U41" i="4"/>
  <c r="W24" i="4"/>
  <c r="U42" i="4"/>
  <c r="Y24" i="4"/>
  <c r="AA23" i="4"/>
  <c r="Q41" i="4"/>
  <c r="T24" i="4"/>
  <c r="V43" i="4" l="1"/>
  <c r="P42" i="4"/>
  <c r="B14" i="19" a="1"/>
  <c r="B18" i="19" s="1"/>
  <c r="D38" i="19" s="1"/>
  <c r="I38" i="19" s="1"/>
  <c r="Z43" i="4"/>
  <c r="S43" i="4"/>
  <c r="Y43" i="4"/>
  <c r="Y22" i="18"/>
  <c r="Y24" i="18" s="1"/>
  <c r="AA24" i="4"/>
  <c r="N22" i="11"/>
  <c r="T43" i="4"/>
  <c r="T22" i="18"/>
  <c r="T24" i="18" s="1"/>
  <c r="W43" i="4"/>
  <c r="W22" i="18"/>
  <c r="W24" i="18" s="1"/>
  <c r="U43" i="4"/>
  <c r="U22" i="18"/>
  <c r="U24" i="18" s="1"/>
  <c r="AA42" i="4"/>
  <c r="P41" i="4"/>
  <c r="Q22" i="18"/>
  <c r="AA41" i="4"/>
  <c r="Q43" i="4"/>
  <c r="B19" i="19" l="1"/>
  <c r="D39" i="19" s="1"/>
  <c r="I39" i="19" s="1"/>
  <c r="B23" i="19"/>
  <c r="D43" i="19" s="1"/>
  <c r="I43" i="19" s="1"/>
  <c r="B22" i="19"/>
  <c r="D42" i="19" s="1"/>
  <c r="I42" i="19" s="1"/>
  <c r="B20" i="19"/>
  <c r="D40" i="19" s="1"/>
  <c r="I40" i="19" s="1"/>
  <c r="B17" i="19"/>
  <c r="D37" i="19" s="1"/>
  <c r="I37" i="19" s="1"/>
  <c r="B15" i="19"/>
  <c r="D35" i="19" s="1"/>
  <c r="I35" i="19" s="1"/>
  <c r="B16" i="19"/>
  <c r="D36" i="19" s="1"/>
  <c r="I36" i="19" s="1"/>
  <c r="B14" i="19"/>
  <c r="D34" i="19" s="1"/>
  <c r="I34" i="19" s="1"/>
  <c r="B21" i="19"/>
  <c r="D41" i="19" s="1"/>
  <c r="I41" i="19" s="1"/>
  <c r="D18" i="19"/>
  <c r="F18" i="19" s="1"/>
  <c r="D23" i="19"/>
  <c r="F23" i="19" s="1"/>
  <c r="AA43" i="4"/>
  <c r="Q24" i="18"/>
  <c r="AA22" i="18"/>
  <c r="P22" i="18"/>
  <c r="P24" i="18" s="1"/>
  <c r="P43" i="4"/>
  <c r="N23" i="11"/>
  <c r="O22" i="11"/>
  <c r="O23" i="11" s="1"/>
  <c r="D15" i="19" l="1"/>
  <c r="F15" i="19" s="1"/>
  <c r="D20" i="19"/>
  <c r="F20" i="19" s="1"/>
  <c r="D17" i="19"/>
  <c r="F17" i="19" s="1"/>
  <c r="D22" i="19"/>
  <c r="F22" i="19" s="1"/>
  <c r="D21" i="19"/>
  <c r="F21" i="19" s="1"/>
  <c r="D19" i="19"/>
  <c r="F19" i="19" s="1"/>
  <c r="D16" i="19"/>
  <c r="F16" i="19" s="1"/>
  <c r="B24" i="19"/>
  <c r="E18" i="17"/>
  <c r="D31" i="17" s="1"/>
  <c r="G31" i="17" s="1"/>
  <c r="D14" i="19"/>
  <c r="E17" i="17"/>
  <c r="P22" i="11"/>
  <c r="U22" i="11" s="1"/>
  <c r="B35" i="19"/>
  <c r="K35" i="19" s="1"/>
  <c r="L35" i="19" s="1"/>
  <c r="C35" i="19"/>
  <c r="B43" i="19"/>
  <c r="K43" i="19" s="1"/>
  <c r="L43" i="19" s="1"/>
  <c r="C43" i="19"/>
  <c r="H43" i="19" s="1"/>
  <c r="B40" i="19"/>
  <c r="K40" i="19" s="1"/>
  <c r="L40" i="19" s="1"/>
  <c r="C40" i="19"/>
  <c r="B37" i="19"/>
  <c r="K37" i="19" s="1"/>
  <c r="L37" i="19" s="1"/>
  <c r="C37" i="19"/>
  <c r="B39" i="19"/>
  <c r="K39" i="19" s="1"/>
  <c r="L39" i="19" s="1"/>
  <c r="C39" i="19"/>
  <c r="B38" i="19"/>
  <c r="K38" i="19" s="1"/>
  <c r="L38" i="19" s="1"/>
  <c r="C38" i="19"/>
  <c r="H38" i="19" s="1"/>
  <c r="B36" i="19"/>
  <c r="K36" i="19" s="1"/>
  <c r="L36" i="19" s="1"/>
  <c r="C36" i="19"/>
  <c r="B42" i="19"/>
  <c r="K42" i="19" s="1"/>
  <c r="L42" i="19" s="1"/>
  <c r="C42" i="19"/>
  <c r="B41" i="19"/>
  <c r="K41" i="19" s="1"/>
  <c r="L41" i="19" s="1"/>
  <c r="C41" i="19"/>
  <c r="AA24" i="18"/>
  <c r="R21" i="11"/>
  <c r="D24" i="19" l="1"/>
  <c r="H37" i="19"/>
  <c r="H42" i="19"/>
  <c r="H39" i="19"/>
  <c r="H40" i="19"/>
  <c r="H36" i="19"/>
  <c r="H41" i="19"/>
  <c r="H35" i="19"/>
  <c r="D44" i="19"/>
  <c r="G42" i="19"/>
  <c r="G37" i="19"/>
  <c r="G36" i="19"/>
  <c r="G40" i="19"/>
  <c r="G39" i="19"/>
  <c r="G41" i="19"/>
  <c r="G35" i="19"/>
  <c r="G38" i="19"/>
  <c r="M38" i="19" s="1"/>
  <c r="G43" i="19"/>
  <c r="M43" i="19" s="1"/>
  <c r="F14" i="19"/>
  <c r="F24" i="19" s="1"/>
  <c r="F43" i="19"/>
  <c r="P23" i="11"/>
  <c r="F40" i="19"/>
  <c r="F37" i="19"/>
  <c r="F42" i="19"/>
  <c r="F35" i="19"/>
  <c r="F38" i="19"/>
  <c r="F41" i="19"/>
  <c r="F36" i="19"/>
  <c r="F39" i="19"/>
  <c r="B34" i="19"/>
  <c r="C34" i="19"/>
  <c r="H34" i="19" s="1"/>
  <c r="R23" i="11"/>
  <c r="S21" i="11"/>
  <c r="S23" i="11" s="1"/>
  <c r="M36" i="19" l="1"/>
  <c r="M37" i="19"/>
  <c r="K34" i="19"/>
  <c r="L34" i="19" s="1"/>
  <c r="G34" i="19"/>
  <c r="M42" i="19"/>
  <c r="M35" i="19"/>
  <c r="H44" i="19"/>
  <c r="D36" i="17" s="1"/>
  <c r="G36" i="17" s="1"/>
  <c r="M41" i="19"/>
  <c r="M39" i="19"/>
  <c r="M40" i="19"/>
  <c r="T21" i="11"/>
  <c r="T23" i="11" s="1"/>
  <c r="F34" i="19"/>
  <c r="F44" i="19" s="1"/>
  <c r="C44" i="19"/>
  <c r="B44" i="19"/>
  <c r="M34" i="19"/>
  <c r="H16" i="17"/>
  <c r="H17" i="17"/>
  <c r="K44" i="19" l="1"/>
  <c r="U21" i="11"/>
  <c r="U23" i="11" s="1"/>
  <c r="M44" i="19"/>
  <c r="L44" i="19"/>
  <c r="H21" i="17"/>
  <c r="G40" i="17" s="1"/>
  <c r="G37" i="17" s="1"/>
  <c r="I44" i="19"/>
  <c r="D30" i="17" s="1"/>
  <c r="G44" i="19"/>
  <c r="H18" i="17"/>
  <c r="H19" i="17" s="1"/>
  <c r="G50" i="17" s="1"/>
  <c r="G51" i="17" s="1"/>
  <c r="D32" i="17" l="1"/>
  <c r="D35" i="17"/>
  <c r="E19" i="17"/>
  <c r="D50" i="17" s="1"/>
  <c r="D51" i="17" s="1"/>
  <c r="G30" i="17" l="1"/>
  <c r="G32" i="17" s="1"/>
  <c r="D38" i="17"/>
  <c r="D42" i="17" s="1"/>
  <c r="G35" i="17"/>
  <c r="G38" i="17" s="1"/>
  <c r="G42" i="17" s="1"/>
  <c r="D53" i="17" l="1"/>
  <c r="G53" i="17"/>
  <c r="A63" i="18" l="1"/>
  <c r="A62" i="18" s="1"/>
  <c r="A61" i="18" s="1"/>
  <c r="A60" i="18" s="1"/>
  <c r="A59" i="18" s="1"/>
  <c r="A58" i="18" s="1"/>
  <c r="A57" i="18" s="1"/>
  <c r="A56" i="18" s="1"/>
  <c r="A55" i="18" s="1"/>
  <c r="A54" i="18" s="1"/>
  <c r="L21" i="11"/>
  <c r="L20" i="11" s="1"/>
  <c r="L19" i="11" s="1"/>
  <c r="L18" i="11" s="1"/>
  <c r="L17" i="11" s="1"/>
  <c r="L16" i="11" s="1"/>
  <c r="L15" i="11" s="1"/>
  <c r="L14" i="11" s="1"/>
  <c r="L13" i="11" s="1"/>
  <c r="L12" i="11" s="1"/>
</calcChain>
</file>

<file path=xl/sharedStrings.xml><?xml version="1.0" encoding="utf-8"?>
<sst xmlns="http://schemas.openxmlformats.org/spreadsheetml/2006/main" count="762" uniqueCount="370">
  <si>
    <t>Appendix 1</t>
  </si>
  <si>
    <t>Company ABC</t>
  </si>
  <si>
    <t>Maturity</t>
  </si>
  <si>
    <t>Age</t>
  </si>
  <si>
    <t>Incremental</t>
  </si>
  <si>
    <t>Cumulative</t>
  </si>
  <si>
    <t>Valuation date:</t>
  </si>
  <si>
    <t>Selection of yield curve assumptions</t>
  </si>
  <si>
    <t>Selection of expected payment assumptions</t>
  </si>
  <si>
    <t>Accident</t>
  </si>
  <si>
    <t>Year</t>
  </si>
  <si>
    <t>Undiscounted</t>
  </si>
  <si>
    <t>Liabilities</t>
  </si>
  <si>
    <t>Notes</t>
  </si>
  <si>
    <t>(1)</t>
  </si>
  <si>
    <t>(2)</t>
  </si>
  <si>
    <t>(3)</t>
  </si>
  <si>
    <t>Liability</t>
  </si>
  <si>
    <t>Expected</t>
  </si>
  <si>
    <t>Projected Cash Flows as a % of Undiscounted Liabilities</t>
  </si>
  <si>
    <t>Selected yield curve:</t>
  </si>
  <si>
    <t>Discounted</t>
  </si>
  <si>
    <t>Appendix 2A</t>
  </si>
  <si>
    <t>Appendix 2B</t>
  </si>
  <si>
    <t>Appendix 2C</t>
  </si>
  <si>
    <t>Bottom up approach</t>
  </si>
  <si>
    <t>Top down approach</t>
  </si>
  <si>
    <t>Yield</t>
  </si>
  <si>
    <t>Selected</t>
  </si>
  <si>
    <t>Selected discount factor:</t>
  </si>
  <si>
    <t>Total</t>
  </si>
  <si>
    <t xml:space="preserve">Selected cash flow </t>
  </si>
  <si>
    <t>timing from valuation date:</t>
  </si>
  <si>
    <t>A</t>
  </si>
  <si>
    <t>AAA</t>
  </si>
  <si>
    <t>AA</t>
  </si>
  <si>
    <t>Date</t>
  </si>
  <si>
    <t>Risk-Free</t>
  </si>
  <si>
    <t>Illiquidity</t>
  </si>
  <si>
    <t>Premium</t>
  </si>
  <si>
    <t>Indicated</t>
  </si>
  <si>
    <t>Portfolio</t>
  </si>
  <si>
    <t>Credit Risk</t>
  </si>
  <si>
    <t>Adjustment</t>
  </si>
  <si>
    <t>Market Risk</t>
  </si>
  <si>
    <t>Bottom-up approach</t>
  </si>
  <si>
    <t>Top-down approach</t>
  </si>
  <si>
    <t>Summary</t>
  </si>
  <si>
    <t>Table 1</t>
  </si>
  <si>
    <t>Table 2</t>
  </si>
  <si>
    <t>Summary of Liability for Incurred Claims</t>
  </si>
  <si>
    <t>Appendix 7</t>
  </si>
  <si>
    <t>Table 3</t>
  </si>
  <si>
    <t>Company name:</t>
  </si>
  <si>
    <t>Credit Rating</t>
  </si>
  <si>
    <t>Federal</t>
  </si>
  <si>
    <t>BBB</t>
  </si>
  <si>
    <t>Default</t>
  </si>
  <si>
    <t>Average Time</t>
  </si>
  <si>
    <t>to Maturity</t>
  </si>
  <si>
    <t>Unadjusted Yield to Maturity</t>
  </si>
  <si>
    <t>Adjusted Yield to Maturity</t>
  </si>
  <si>
    <t>Top Down</t>
  </si>
  <si>
    <t>Adjusted</t>
  </si>
  <si>
    <t>Multiplier</t>
  </si>
  <si>
    <t>Constant</t>
  </si>
  <si>
    <t>Future</t>
  </si>
  <si>
    <t>Cash Flows</t>
  </si>
  <si>
    <t>Risk</t>
  </si>
  <si>
    <t>Fulfilment</t>
  </si>
  <si>
    <t>Payment</t>
  </si>
  <si>
    <t>from</t>
  </si>
  <si>
    <t>Valuation</t>
  </si>
  <si>
    <t>Unwinding</t>
  </si>
  <si>
    <t>Insurance Finance Expense</t>
  </si>
  <si>
    <t>of Discount</t>
  </si>
  <si>
    <t>Assumptions</t>
  </si>
  <si>
    <t>Discount</t>
  </si>
  <si>
    <t>Time</t>
  </si>
  <si>
    <t>Statement of Financial Position</t>
  </si>
  <si>
    <t>Liability for Incurred Claims</t>
  </si>
  <si>
    <t>Future Cash Flows</t>
  </si>
  <si>
    <t>Effect of Discounting</t>
  </si>
  <si>
    <t>Risk Adjustment</t>
  </si>
  <si>
    <t>Insurance Service Expense</t>
  </si>
  <si>
    <t>Unwinding of Discount</t>
  </si>
  <si>
    <t>Effect of Changes in Discounting Assumptions</t>
  </si>
  <si>
    <t>Payments</t>
  </si>
  <si>
    <t>Reconciliation: Total Incurred Losses</t>
  </si>
  <si>
    <t>Current Year LIC</t>
  </si>
  <si>
    <t>Prior Year LIC</t>
  </si>
  <si>
    <t>vs. Income Statement</t>
  </si>
  <si>
    <t>Y</t>
  </si>
  <si>
    <t>Difference</t>
  </si>
  <si>
    <t>Payment %</t>
  </si>
  <si>
    <t>Rate</t>
  </si>
  <si>
    <t>Weighted LT Avg</t>
  </si>
  <si>
    <t>Median</t>
  </si>
  <si>
    <t>Standard Dev.</t>
  </si>
  <si>
    <t>Cumulative Expected Probability of Default</t>
  </si>
  <si>
    <t>Example of Calculation</t>
  </si>
  <si>
    <t>Security</t>
  </si>
  <si>
    <t>B</t>
  </si>
  <si>
    <t>Coupon</t>
  </si>
  <si>
    <t>Par</t>
  </si>
  <si>
    <t>Value</t>
  </si>
  <si>
    <t>Market</t>
  </si>
  <si>
    <t>Effective</t>
  </si>
  <si>
    <t>Semi-Annual</t>
  </si>
  <si>
    <t>Duration</t>
  </si>
  <si>
    <t>Table 5</t>
  </si>
  <si>
    <t>Table 6</t>
  </si>
  <si>
    <t>Reference Portfolio</t>
  </si>
  <si>
    <t>% Selected</t>
  </si>
  <si>
    <t>Reference</t>
  </si>
  <si>
    <t>Asset Illiquidity Premium</t>
  </si>
  <si>
    <t>Indicated Yield</t>
  </si>
  <si>
    <t>Liability Illiquidity Premium (Low)</t>
  </si>
  <si>
    <t>Liability Illiquidity Premium (High)</t>
  </si>
  <si>
    <t>(4)</t>
  </si>
  <si>
    <t>(5)</t>
  </si>
  <si>
    <t>(6)</t>
  </si>
  <si>
    <t>(7)</t>
  </si>
  <si>
    <t>(8)</t>
  </si>
  <si>
    <t>(9)</t>
  </si>
  <si>
    <t>Appendix 3</t>
  </si>
  <si>
    <t>Appendix 4</t>
  </si>
  <si>
    <t>(4) = (2) + (3)</t>
  </si>
  <si>
    <t>Credit Adjustment (in basis points)</t>
  </si>
  <si>
    <t>(10)</t>
  </si>
  <si>
    <t>Ind. Asset</t>
  </si>
  <si>
    <t>Sel. Asset</t>
  </si>
  <si>
    <t>Financial Statement Entries</t>
  </si>
  <si>
    <t>Without OCI Option</t>
  </si>
  <si>
    <t>With OCI Option</t>
  </si>
  <si>
    <t>Accumulated Other Comprehensive Income</t>
  </si>
  <si>
    <t>Reclassification from OCI</t>
  </si>
  <si>
    <t>Locked-In</t>
  </si>
  <si>
    <t>Projected Cash Flows</t>
  </si>
  <si>
    <t>Locked-In Spot Rate Yield Curve</t>
  </si>
  <si>
    <t>Projection of undiscounted and discounted cash flows</t>
  </si>
  <si>
    <t>Current yield curve</t>
  </si>
  <si>
    <t>Selected Discount Factors</t>
  </si>
  <si>
    <t>Locked-In Yield Curve (For OCI Option Only)</t>
  </si>
  <si>
    <t>Current Yield Curve</t>
  </si>
  <si>
    <t>Locked-In Yield Curve (OCI Option Only)</t>
  </si>
  <si>
    <t>(5) = (1)</t>
  </si>
  <si>
    <t>(8) = (6) + (7)</t>
  </si>
  <si>
    <t>(9) = (4) - (8)</t>
  </si>
  <si>
    <t>Appendix 5</t>
  </si>
  <si>
    <t>Total in P&amp;L</t>
  </si>
  <si>
    <t>Effect of Changes in Discounting Assumptions in OCI</t>
  </si>
  <si>
    <t>Statement of Comprehensive Income</t>
  </si>
  <si>
    <t>Total Insurance Finance Expense</t>
  </si>
  <si>
    <t>(5a)</t>
  </si>
  <si>
    <t>(5b)</t>
  </si>
  <si>
    <t>(5c)</t>
  </si>
  <si>
    <t>(5d)</t>
  </si>
  <si>
    <t>(5e)</t>
  </si>
  <si>
    <t>(5f)</t>
  </si>
  <si>
    <t>(5g)</t>
  </si>
  <si>
    <t>(5h)</t>
  </si>
  <si>
    <t>(5i)</t>
  </si>
  <si>
    <t>(5j)</t>
  </si>
  <si>
    <t>(5k)</t>
  </si>
  <si>
    <t>(5l)</t>
  </si>
  <si>
    <t>(5m)</t>
  </si>
  <si>
    <t>(5n)</t>
  </si>
  <si>
    <t>(5o)</t>
  </si>
  <si>
    <t>For simplicity, there is no adjustment for downgrade</t>
  </si>
  <si>
    <t>Principal</t>
  </si>
  <si>
    <t>Probability</t>
  </si>
  <si>
    <t>of Default</t>
  </si>
  <si>
    <t>Table 7</t>
  </si>
  <si>
    <t>No Default</t>
  </si>
  <si>
    <t>Weighted</t>
  </si>
  <si>
    <t>Table 4A</t>
  </si>
  <si>
    <t>Table 4B</t>
  </si>
  <si>
    <t>Selection</t>
  </si>
  <si>
    <t>Percentile</t>
  </si>
  <si>
    <t>Multiple</t>
  </si>
  <si>
    <t>(2) Selected based on actuarial judgment</t>
  </si>
  <si>
    <t>(3) = (2) + [(2) prior]</t>
  </si>
  <si>
    <t>(4) = 100% - (3)</t>
  </si>
  <si>
    <t>Selected Cumulative Probability of Default (Expected and Unexpected Default)</t>
  </si>
  <si>
    <t>From Table 4A or 4B</t>
  </si>
  <si>
    <t>Selected Cumulative Probability of Default (Expected and Unexpected Default) - Based on a Multiple of Expected Default</t>
  </si>
  <si>
    <t>Table 4C</t>
  </si>
  <si>
    <t>= Successive difference in cumulative probabilities from Table 4C</t>
  </si>
  <si>
    <t>= Table 2 - Table 6</t>
  </si>
  <si>
    <t>(2) From Bank of Canada</t>
  </si>
  <si>
    <t>(3) = (1) - (2)</t>
  </si>
  <si>
    <t>(4) Selected based on actuarial judgment</t>
  </si>
  <si>
    <t>(5) Selected based on actuarial judgment</t>
  </si>
  <si>
    <t>(6) Selected based on actuarial judgment</t>
  </si>
  <si>
    <t>(7) = (4) x (5) + (6)</t>
  </si>
  <si>
    <t>(8) Selected based on actuarial judgment</t>
  </si>
  <si>
    <t>(9) Selected based on actuarial judgment</t>
  </si>
  <si>
    <t>(10) = (4) x (8) + (9)</t>
  </si>
  <si>
    <t>(1) From Bank of Canada</t>
  </si>
  <si>
    <t>(3) = (1) + (2)</t>
  </si>
  <si>
    <t>(6) = 0</t>
  </si>
  <si>
    <t>(7) = (4) - (5) - (6)</t>
  </si>
  <si>
    <t>Note: the actuary need not reconcile the discount rates derived using bottom-up and top-down approaches.</t>
  </si>
  <si>
    <t>(2a)</t>
  </si>
  <si>
    <t>(2b)</t>
  </si>
  <si>
    <t>(2c)</t>
  </si>
  <si>
    <t>(2d)</t>
  </si>
  <si>
    <t>(2e)</t>
  </si>
  <si>
    <t>(2f)</t>
  </si>
  <si>
    <t>(2g)</t>
  </si>
  <si>
    <t>(2h)</t>
  </si>
  <si>
    <t>(2i)</t>
  </si>
  <si>
    <t>(2j)</t>
  </si>
  <si>
    <t>(1) From actuarial valuation</t>
  </si>
  <si>
    <t>(2) = (1) x Payment pattern from Appendix 1</t>
  </si>
  <si>
    <t>(7a)</t>
  </si>
  <si>
    <t>(7b)</t>
  </si>
  <si>
    <t>(7c)</t>
  </si>
  <si>
    <t>(7d)</t>
  </si>
  <si>
    <t>(7e)</t>
  </si>
  <si>
    <t>(7f)</t>
  </si>
  <si>
    <t>(7g)</t>
  </si>
  <si>
    <t>(7h)</t>
  </si>
  <si>
    <t>(7i)</t>
  </si>
  <si>
    <t>(7j)</t>
  </si>
  <si>
    <t xml:space="preserve">(6) Selected cash flow </t>
  </si>
  <si>
    <t>(6) Selected based on actuarial judgment; assumed to be mid-year payments</t>
  </si>
  <si>
    <t>(7) = [1 + (5)] ^ -(6)</t>
  </si>
  <si>
    <t>Locked-In Yield Curve</t>
  </si>
  <si>
    <t>Unpaid %</t>
  </si>
  <si>
    <t>Selected Cumulative Probability of Default (Expected and Unexpected Default) - Percentile of Default</t>
  </si>
  <si>
    <t>Selected Annual Probability of Default (Expected and Unexpected Default)</t>
  </si>
  <si>
    <t>Federal bonds are assumed to be risk-free</t>
  </si>
  <si>
    <t>For simplicity, the calculations were performed as if all bonds in each maturity/credit rating category were a single security</t>
  </si>
  <si>
    <t>Example</t>
  </si>
  <si>
    <t>- The accident year is 24 months old at December 31, 2022.</t>
  </si>
  <si>
    <t>- The payment in year 2025 will have a maturity between 48 and 60 months.</t>
  </si>
  <si>
    <t>- The payment between 48 and 60 months as a percentage of ultimate is 7.5% [Column (2), 60 months].</t>
  </si>
  <si>
    <t>- The payment between 48 and 60 months as a percentage of the unpaid claims at December 31, 2022 is 7.5% / 55% 
[Column (2) at 60 months / Column (4) at 24 months]</t>
  </si>
  <si>
    <t>Based on Moody's Annual Default Study: Corporate Default and Recovery Rates, 1920-2017 and S&amp;P Annual Global Corporate Default Study and Rating Transitions</t>
  </si>
  <si>
    <t>Selection based on actuarial judgment</t>
  </si>
  <si>
    <t>90th percentile based on Moody's Annual Default Study: Corporate Default and Recovery Rates, 1920-2017</t>
  </si>
  <si>
    <t>= 2 x Expected default from Table 3</t>
  </si>
  <si>
    <t>(2) Based on investment listing (see Table 2 example): = Par value</t>
  </si>
  <si>
    <t>(1) Based on investment listing (see Table 2 example): = 50% x Annual coupon rate x Par value</t>
  </si>
  <si>
    <t>(3) From Table 5</t>
  </si>
  <si>
    <t>(4) = (3) + [(4) prior] = Table 4C</t>
  </si>
  <si>
    <t>(5) Cash flow at time zero = market value (see Table 2 example); cash flow in subsequent periods = (1) + (2)</t>
  </si>
  <si>
    <t>(8) Recovery Rate:</t>
  </si>
  <si>
    <t>(9) Internal Rate of Return:</t>
  </si>
  <si>
    <t>(6) = [(1) + Principal] x (8)</t>
  </si>
  <si>
    <t>(7) = [(5) x [1 - (4)]] + [(6) x (3)]</t>
  </si>
  <si>
    <t>(8) Selected based on actuarial judgment and Moody's Annual Default Study: Corporate Default and Recovery Rates, 1920-2017</t>
  </si>
  <si>
    <t>(9) = Internal rate of return of cash flows</t>
  </si>
  <si>
    <t>(11)</t>
  </si>
  <si>
    <t>(12)</t>
  </si>
  <si>
    <t>(13)</t>
  </si>
  <si>
    <t>(14)</t>
  </si>
  <si>
    <t>(4) = (1) + (2) + (3)</t>
  </si>
  <si>
    <t>Modified</t>
  </si>
  <si>
    <t>(7) Selected yield curve:</t>
  </si>
  <si>
    <t xml:space="preserve">(8) Selected cash flow </t>
  </si>
  <si>
    <t>(9) Selected discount factor:</t>
  </si>
  <si>
    <t>(8) Selected based on actuarial judgment; assumed to be mid-year payments</t>
  </si>
  <si>
    <t>(9) = [1 + (7)] ^ -(8)</t>
  </si>
  <si>
    <t>(4) Sum of (5)</t>
  </si>
  <si>
    <t>(2) From prior year valuation</t>
  </si>
  <si>
    <t>Calculation)</t>
  </si>
  <si>
    <t>To YE 2022</t>
  </si>
  <si>
    <t>To YE 2021</t>
  </si>
  <si>
    <t>Discounting</t>
  </si>
  <si>
    <t>(Unwinding Rate</t>
  </si>
  <si>
    <t>(Present Value</t>
  </si>
  <si>
    <t>Current Yield</t>
  </si>
  <si>
    <t>Predicted Yield</t>
  </si>
  <si>
    <t>Prior Yield</t>
  </si>
  <si>
    <t>Change in</t>
  </si>
  <si>
    <t>Disc. @</t>
  </si>
  <si>
    <t>Factors</t>
  </si>
  <si>
    <t>Curve</t>
  </si>
  <si>
    <t>Rates</t>
  </si>
  <si>
    <t>Forward</t>
  </si>
  <si>
    <t>Prior</t>
  </si>
  <si>
    <t>Current</t>
  </si>
  <si>
    <t>Predicted</t>
  </si>
  <si>
    <t>Assume 1 year spot rate is:</t>
  </si>
  <si>
    <t>Discount Curve Assumptions</t>
  </si>
  <si>
    <t>Unwinding Method</t>
  </si>
  <si>
    <t>Calculation of Income Statement Amounts</t>
  </si>
  <si>
    <t>Appendix 6</t>
  </si>
  <si>
    <t>Issue</t>
  </si>
  <si>
    <t>Allocation to Issue Year*</t>
  </si>
  <si>
    <t>Undiscounted Risk Adjustment</t>
  </si>
  <si>
    <t>N</t>
  </si>
  <si>
    <t>Change in Risk Adjustment</t>
  </si>
  <si>
    <t>Disaggregate Discounting</t>
  </si>
  <si>
    <t>on Risk Adjustment</t>
  </si>
  <si>
    <t>Totals</t>
  </si>
  <si>
    <t>Insurance</t>
  </si>
  <si>
    <t>Service</t>
  </si>
  <si>
    <t>Finance</t>
  </si>
  <si>
    <t>Expense</t>
  </si>
  <si>
    <t>Appendix 5 - Prior Year</t>
  </si>
  <si>
    <t>Appendix 4 - Prior Year</t>
  </si>
  <si>
    <t>Appendix 3 - Prior Year</t>
  </si>
  <si>
    <t>Undisc. Cash Flow Assumptions</t>
  </si>
  <si>
    <t>Cash Flow</t>
  </si>
  <si>
    <t>(3) Appendix 3; paid amount from the entity</t>
  </si>
  <si>
    <t>(4) From prior year valuation</t>
  </si>
  <si>
    <t>(5) Risk adjustment allocated = 5% x (3)</t>
  </si>
  <si>
    <t>(1) Appendix 3, Col. (4)</t>
  </si>
  <si>
    <t>(2) Appendix 3, Col. (6)</t>
  </si>
  <si>
    <t>(3) Risk adjustment allocated = 5% x (2)</t>
  </si>
  <si>
    <t>(6) Appendix 4, Col. (3)</t>
  </si>
  <si>
    <t>(7) Risk adjustment allocated = 5% x (6)</t>
  </si>
  <si>
    <t>(2) Appendix 3, Col. (5)</t>
  </si>
  <si>
    <t>(3) Sumproduct of (2) and (7)</t>
  </si>
  <si>
    <t>* Simple allocation for illustrative purposes only</t>
  </si>
  <si>
    <t>(6) Sum of (5)</t>
  </si>
  <si>
    <t>(5) Conditional payment pattern as a % of unpaid: see example</t>
  </si>
  <si>
    <t>(1) Appendix 2A, Table 6</t>
  </si>
  <si>
    <t>(2) Appendix 2B, Col. (10)</t>
  </si>
  <si>
    <t>(4) Appendix 2A, Table 2</t>
  </si>
  <si>
    <t>(5) Appendix 2A, Table 7</t>
  </si>
  <si>
    <t>(1) Appendix 5, Column (1)</t>
  </si>
  <si>
    <t>(2) Appendix 5, Column (2) - Appendix 5, Column (1)</t>
  </si>
  <si>
    <t>(3) Appendix 5, Column (3)</t>
  </si>
  <si>
    <t>(7) Appendix 2C, Col. (8)</t>
  </si>
  <si>
    <t>(3) Sumproduct of (2) and (9)</t>
  </si>
  <si>
    <t>(5) Average of adjacent accident years in (2)</t>
  </si>
  <si>
    <t>(6) Sumproduct of (5) and (9)</t>
  </si>
  <si>
    <t>(6) = (2) + (4)</t>
  </si>
  <si>
    <t>(7) = (3) + (5)</t>
  </si>
  <si>
    <t>(8) From prior year valuation</t>
  </si>
  <si>
    <t>(10) Forward rates implied by (8)</t>
  </si>
  <si>
    <t>(11) Defined by selection of unwinding method</t>
  </si>
  <si>
    <t>(12) Discount curve predicted for current date using prior curve and selected unwinding method</t>
  </si>
  <si>
    <t>(14) Appendix 3, Line (4)</t>
  </si>
  <si>
    <t>(9) = [1 + (12)]^-(1)</t>
  </si>
  <si>
    <t>(13) = [1 + (6)]^-(1)</t>
  </si>
  <si>
    <t>(15) = [1 + (14)]^-(1)</t>
  </si>
  <si>
    <t>(21) = (18) - (17)</t>
  </si>
  <si>
    <t>(22) = (17) x (11)</t>
  </si>
  <si>
    <t>(23) = (19) - (18)</t>
  </si>
  <si>
    <t>(24) = (20) - (19)</t>
  </si>
  <si>
    <t>Undisc. Cash Flows + RA</t>
  </si>
  <si>
    <t>Update of Valuation Assumptions</t>
  </si>
  <si>
    <t>(6) Appendix 6, Column (30)</t>
  </si>
  <si>
    <t>(7) = [Line (3), current year] - [Line 3, prior year]</t>
  </si>
  <si>
    <t>(13) = 0 without OCI option; = [Line (5), current year] - [Line 5, prior year] with OCI option</t>
  </si>
  <si>
    <t>(14) = (12) + (13)</t>
  </si>
  <si>
    <t>(12) = (9) + (10) + (11)</t>
  </si>
  <si>
    <t>(11) = -Line (13)</t>
  </si>
  <si>
    <t>(9) Appendix 6, Column (22)</t>
  </si>
  <si>
    <t>(10) Appendix 6, Column (23)</t>
  </si>
  <si>
    <t>(4) Selected as middle of the issue year based on average incurred date (PAA)</t>
  </si>
  <si>
    <t>1-year</t>
  </si>
  <si>
    <t>= Constant Yield Curve</t>
  </si>
  <si>
    <t>= Unwinding Using Spot Rates</t>
  </si>
  <si>
    <t>= Expectations Hypothesis</t>
  </si>
  <si>
    <t>n/a</t>
  </si>
  <si>
    <t>(25) From the entity</t>
  </si>
  <si>
    <t>(28) = (22) + (23)</t>
  </si>
  <si>
    <t>locked-in rate</t>
  </si>
  <si>
    <t>Forward Rates implied by Locked-In Spot Rate Curve</t>
  </si>
  <si>
    <t>(5) Selected using methodology illustrated in Appendix 2C; rolled forward from prior valuation consistent with unwinding method selected in Appendix 6</t>
  </si>
  <si>
    <t>Prov. &amp; CHT</t>
  </si>
  <si>
    <t>Selected investment grade corporate bonds weighted by market value</t>
  </si>
  <si>
    <t>Bank of American Merrill Lynch (BAML) Canada Bond Market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</si>
</sst>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%"/>
    <numFmt numFmtId="165" formatCode="0.0%;\-0.0%;\-\-"/>
    <numFmt numFmtId="166" formatCode="0.0000"/>
    <numFmt numFmtId="167" formatCode="0.0"/>
    <numFmt numFmtId="168" formatCode="#,###,"/>
    <numFmt numFmtId="170" formatCode="0.000%"/>
    <numFmt numFmtId="171" formatCode="0\ &quot;bps&quot;"/>
    <numFmt numFmtId="172" formatCode="#,##0;\(#,##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9">
    <xf numFmtId="0" fontId="0" fillId="0" borderId="0" xfId="0"/>
    <xf numFmtId="0" fontId="0" fillId="0" borderId="0" xfId="0" applyAlignment="1">
      <alignment horizontal="centerContinuous"/>
    </xf>
    <xf numFmtId="0" fontId="2" fillId="0" borderId="0" xfId="0" applyFont="1" applyAlignment="1">
      <alignment horizontal="centerContinuous"/>
    </xf>
    <xf numFmtId="0" fontId="0" fillId="0" borderId="0" xfId="0" applyAlignment="1">
      <alignment horizontal="right"/>
    </xf>
    <xf numFmtId="14" fontId="0" fillId="0" borderId="0" xfId="0" applyNumberFormat="1"/>
    <xf numFmtId="0" fontId="2" fillId="0" borderId="0" xfId="0" applyFont="1"/>
    <xf numFmtId="0" fontId="0" fillId="0" borderId="0" xfId="0" quotePrefix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0" xfId="0" applyBorder="1"/>
    <xf numFmtId="3" fontId="0" fillId="0" borderId="0" xfId="0" applyNumberFormat="1"/>
    <xf numFmtId="3" fontId="0" fillId="0" borderId="2" xfId="0" applyNumberFormat="1" applyBorder="1"/>
    <xf numFmtId="0" fontId="0" fillId="0" borderId="1" xfId="0" applyBorder="1"/>
    <xf numFmtId="0" fontId="0" fillId="0" borderId="1" xfId="0" applyBorder="1" applyAlignment="1">
      <alignment horizontal="centerContinuous"/>
    </xf>
    <xf numFmtId="10" fontId="0" fillId="0" borderId="0" xfId="1" applyNumberFormat="1" applyFont="1"/>
    <xf numFmtId="166" fontId="0" fillId="0" borderId="0" xfId="0" applyNumberFormat="1"/>
    <xf numFmtId="3" fontId="3" fillId="0" borderId="4" xfId="0" applyNumberFormat="1" applyFont="1" applyBorder="1"/>
    <xf numFmtId="3" fontId="3" fillId="0" borderId="5" xfId="0" applyNumberFormat="1" applyFont="1" applyBorder="1"/>
    <xf numFmtId="0" fontId="3" fillId="0" borderId="0" xfId="0" applyFont="1"/>
    <xf numFmtId="10" fontId="3" fillId="0" borderId="0" xfId="1" applyNumberFormat="1" applyFont="1"/>
    <xf numFmtId="3" fontId="0" fillId="0" borderId="7" xfId="0" applyNumberFormat="1" applyBorder="1"/>
    <xf numFmtId="3" fontId="0" fillId="0" borderId="6" xfId="0" applyNumberFormat="1" applyBorder="1"/>
    <xf numFmtId="0" fontId="0" fillId="0" borderId="5" xfId="0" applyBorder="1" applyAlignment="1">
      <alignment horizontal="centerContinuous"/>
    </xf>
    <xf numFmtId="0" fontId="0" fillId="0" borderId="0" xfId="0" applyFill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right"/>
    </xf>
    <xf numFmtId="10" fontId="3" fillId="0" borderId="0" xfId="1" applyNumberFormat="1" applyFont="1" applyFill="1"/>
    <xf numFmtId="10" fontId="4" fillId="0" borderId="0" xfId="1" applyNumberFormat="1" applyFont="1" applyFill="1"/>
    <xf numFmtId="0" fontId="0" fillId="0" borderId="0" xfId="0" applyBorder="1" applyAlignment="1">
      <alignment horizontal="center"/>
    </xf>
    <xf numFmtId="3" fontId="0" fillId="0" borderId="0" xfId="0" applyNumberFormat="1" applyBorder="1"/>
    <xf numFmtId="10" fontId="0" fillId="0" borderId="0" xfId="0" applyNumberFormat="1" applyFill="1"/>
    <xf numFmtId="10" fontId="0" fillId="0" borderId="0" xfId="1" applyNumberFormat="1" applyFont="1" applyFill="1"/>
    <xf numFmtId="0" fontId="0" fillId="0" borderId="2" xfId="0" applyFill="1" applyBorder="1"/>
    <xf numFmtId="0" fontId="0" fillId="0" borderId="0" xfId="0" applyFill="1" applyBorder="1"/>
    <xf numFmtId="0" fontId="0" fillId="0" borderId="0" xfId="0" applyFill="1"/>
    <xf numFmtId="3" fontId="0" fillId="0" borderId="0" xfId="0" applyNumberFormat="1" applyFill="1"/>
    <xf numFmtId="3" fontId="3" fillId="0" borderId="0" xfId="0" applyNumberFormat="1" applyFont="1"/>
    <xf numFmtId="0" fontId="0" fillId="0" borderId="4" xfId="0" applyFill="1" applyBorder="1" applyAlignment="1">
      <alignment horizontal="right"/>
    </xf>
    <xf numFmtId="0" fontId="0" fillId="0" borderId="0" xfId="0" quotePrefix="1"/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0" fillId="0" borderId="2" xfId="0" applyFill="1" applyBorder="1" applyAlignment="1">
      <alignment horizontal="right"/>
    </xf>
    <xf numFmtId="0" fontId="0" fillId="0" borderId="5" xfId="0" applyFill="1" applyBorder="1" applyAlignment="1">
      <alignment horizontal="right"/>
    </xf>
    <xf numFmtId="10" fontId="0" fillId="0" borderId="0" xfId="0" applyNumberFormat="1" applyFill="1" applyBorder="1"/>
    <xf numFmtId="3" fontId="4" fillId="0" borderId="4" xfId="0" applyNumberFormat="1" applyFont="1" applyBorder="1"/>
    <xf numFmtId="3" fontId="4" fillId="0" borderId="5" xfId="0" applyNumberFormat="1" applyFont="1" applyBorder="1"/>
    <xf numFmtId="37" fontId="0" fillId="0" borderId="0" xfId="0" applyNumberFormat="1" applyFill="1"/>
    <xf numFmtId="0" fontId="2" fillId="0" borderId="0" xfId="0" applyFont="1" applyFill="1"/>
    <xf numFmtId="37" fontId="0" fillId="0" borderId="2" xfId="0" applyNumberFormat="1" applyFill="1" applyBorder="1"/>
    <xf numFmtId="37" fontId="2" fillId="0" borderId="0" xfId="0" applyNumberFormat="1" applyFont="1" applyFill="1"/>
    <xf numFmtId="37" fontId="0" fillId="0" borderId="0" xfId="0" applyNumberFormat="1" applyFill="1" applyBorder="1"/>
    <xf numFmtId="37" fontId="0" fillId="0" borderId="3" xfId="0" applyNumberFormat="1" applyFill="1" applyBorder="1"/>
    <xf numFmtId="37" fontId="0" fillId="0" borderId="4" xfId="0" applyNumberFormat="1" applyFill="1" applyBorder="1"/>
    <xf numFmtId="0" fontId="0" fillId="0" borderId="6" xfId="0" applyBorder="1"/>
    <xf numFmtId="0" fontId="0" fillId="0" borderId="5" xfId="0" applyBorder="1"/>
    <xf numFmtId="0" fontId="0" fillId="2" borderId="8" xfId="0" applyFont="1" applyFill="1" applyBorder="1"/>
    <xf numFmtId="0" fontId="0" fillId="2" borderId="2" xfId="0" applyFont="1" applyFill="1" applyBorder="1"/>
    <xf numFmtId="37" fontId="0" fillId="2" borderId="2" xfId="0" applyNumberFormat="1" applyFont="1" applyFill="1" applyBorder="1"/>
    <xf numFmtId="37" fontId="0" fillId="2" borderId="3" xfId="0" applyNumberFormat="1" applyFont="1" applyFill="1" applyBorder="1"/>
    <xf numFmtId="0" fontId="0" fillId="2" borderId="7" xfId="0" applyFont="1" applyFill="1" applyBorder="1"/>
    <xf numFmtId="0" fontId="0" fillId="2" borderId="0" xfId="0" applyFont="1" applyFill="1" applyBorder="1"/>
    <xf numFmtId="37" fontId="0" fillId="2" borderId="0" xfId="0" applyNumberFormat="1" applyFont="1" applyFill="1" applyBorder="1"/>
    <xf numFmtId="37" fontId="0" fillId="2" borderId="4" xfId="0" applyNumberFormat="1" applyFont="1" applyFill="1" applyBorder="1"/>
    <xf numFmtId="0" fontId="0" fillId="2" borderId="6" xfId="0" applyFont="1" applyFill="1" applyBorder="1"/>
    <xf numFmtId="0" fontId="0" fillId="2" borderId="1" xfId="0" applyFont="1" applyFill="1" applyBorder="1"/>
    <xf numFmtId="0" fontId="0" fillId="2" borderId="5" xfId="0" applyFont="1" applyFill="1" applyBorder="1"/>
    <xf numFmtId="0" fontId="2" fillId="2" borderId="7" xfId="0" applyFont="1" applyFill="1" applyBorder="1"/>
    <xf numFmtId="0" fontId="0" fillId="0" borderId="4" xfId="0" applyBorder="1"/>
    <xf numFmtId="37" fontId="2" fillId="0" borderId="4" xfId="0" applyNumberFormat="1" applyFont="1" applyFill="1" applyBorder="1"/>
    <xf numFmtId="0" fontId="0" fillId="0" borderId="10" xfId="0" applyBorder="1"/>
    <xf numFmtId="0" fontId="0" fillId="0" borderId="0" xfId="0" quotePrefix="1" applyFill="1" applyAlignment="1">
      <alignment horizontal="left"/>
    </xf>
    <xf numFmtId="0" fontId="0" fillId="0" borderId="1" xfId="0" applyFill="1" applyBorder="1" applyAlignment="1">
      <alignment horizontal="center"/>
    </xf>
    <xf numFmtId="10" fontId="3" fillId="0" borderId="0" xfId="1" applyNumberFormat="1" applyFont="1" applyFill="1" applyBorder="1"/>
    <xf numFmtId="0" fontId="0" fillId="0" borderId="0" xfId="0" applyFill="1" applyAlignment="1">
      <alignment horizontal="right"/>
    </xf>
    <xf numFmtId="14" fontId="0" fillId="0" borderId="2" xfId="0" applyNumberFormat="1" applyFill="1" applyBorder="1"/>
    <xf numFmtId="10" fontId="0" fillId="0" borderId="2" xfId="1" applyNumberFormat="1" applyFont="1" applyFill="1" applyBorder="1"/>
    <xf numFmtId="0" fontId="0" fillId="0" borderId="0" xfId="0" applyFill="1" applyAlignment="1">
      <alignment horizontal="center"/>
    </xf>
    <xf numFmtId="0" fontId="0" fillId="0" borderId="1" xfId="0" applyFill="1" applyBorder="1" applyAlignment="1">
      <alignment horizontal="centerContinuous"/>
    </xf>
    <xf numFmtId="10" fontId="4" fillId="0" borderId="1" xfId="1" applyNumberFormat="1" applyFont="1" applyFill="1" applyBorder="1"/>
    <xf numFmtId="10" fontId="3" fillId="0" borderId="1" xfId="1" applyNumberFormat="1" applyFont="1" applyFill="1" applyBorder="1"/>
    <xf numFmtId="0" fontId="2" fillId="0" borderId="0" xfId="0" applyFont="1" applyFill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quotePrefix="1" applyFill="1" applyAlignment="1">
      <alignment horizontal="center"/>
    </xf>
    <xf numFmtId="0" fontId="0" fillId="0" borderId="0" xfId="0" quotePrefix="1" applyFill="1" applyAlignment="1">
      <alignment horizontal="right"/>
    </xf>
    <xf numFmtId="0" fontId="0" fillId="0" borderId="0" xfId="0" applyFill="1" applyBorder="1" applyAlignment="1">
      <alignment horizontal="center"/>
    </xf>
    <xf numFmtId="164" fontId="3" fillId="0" borderId="0" xfId="0" applyNumberFormat="1" applyFont="1" applyFill="1"/>
    <xf numFmtId="164" fontId="0" fillId="0" borderId="0" xfId="0" applyNumberFormat="1" applyFill="1"/>
    <xf numFmtId="164" fontId="0" fillId="0" borderId="3" xfId="1" applyNumberFormat="1" applyFont="1" applyFill="1" applyBorder="1"/>
    <xf numFmtId="165" fontId="0" fillId="0" borderId="0" xfId="1" applyNumberFormat="1" applyFont="1" applyFill="1" applyAlignment="1">
      <alignment horizontal="right"/>
    </xf>
    <xf numFmtId="165" fontId="0" fillId="0" borderId="7" xfId="0" applyNumberFormat="1" applyFill="1" applyBorder="1"/>
    <xf numFmtId="164" fontId="0" fillId="0" borderId="4" xfId="1" applyNumberFormat="1" applyFont="1" applyFill="1" applyBorder="1"/>
    <xf numFmtId="165" fontId="0" fillId="0" borderId="9" xfId="1" applyNumberFormat="1" applyFont="1" applyFill="1" applyBorder="1" applyAlignment="1">
      <alignment horizontal="right"/>
    </xf>
    <xf numFmtId="0" fontId="0" fillId="0" borderId="0" xfId="0" quotePrefix="1" applyFill="1"/>
    <xf numFmtId="0" fontId="6" fillId="0" borderId="0" xfId="0" applyFont="1" applyFill="1"/>
    <xf numFmtId="0" fontId="0" fillId="0" borderId="1" xfId="0" quotePrefix="1" applyFill="1" applyBorder="1" applyAlignment="1">
      <alignment horizontal="centerContinuous"/>
    </xf>
    <xf numFmtId="0" fontId="0" fillId="0" borderId="5" xfId="0" quotePrefix="1" applyFill="1" applyBorder="1" applyAlignment="1">
      <alignment horizontal="centerContinuous"/>
    </xf>
    <xf numFmtId="0" fontId="0" fillId="0" borderId="0" xfId="0" quotePrefix="1" applyFill="1" applyBorder="1" applyAlignment="1">
      <alignment horizontal="right"/>
    </xf>
    <xf numFmtId="37" fontId="0" fillId="0" borderId="5" xfId="0" applyNumberFormat="1" applyFill="1" applyBorder="1"/>
    <xf numFmtId="37" fontId="0" fillId="0" borderId="1" xfId="0" applyNumberFormat="1" applyFill="1" applyBorder="1"/>
    <xf numFmtId="0" fontId="0" fillId="0" borderId="0" xfId="0" quotePrefix="1" applyFont="1" applyFill="1"/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0" fillId="0" borderId="4" xfId="0" applyNumberFormat="1" applyFill="1" applyBorder="1" applyAlignment="1">
      <alignment horizontal="center"/>
    </xf>
    <xf numFmtId="3" fontId="4" fillId="0" borderId="0" xfId="0" applyNumberFormat="1" applyFont="1" applyFill="1"/>
    <xf numFmtId="3" fontId="4" fillId="0" borderId="4" xfId="0" applyNumberFormat="1" applyFont="1" applyFill="1" applyBorder="1"/>
    <xf numFmtId="3" fontId="4" fillId="0" borderId="5" xfId="0" applyNumberFormat="1" applyFont="1" applyFill="1" applyBorder="1"/>
    <xf numFmtId="0" fontId="0" fillId="0" borderId="3" xfId="0" applyFill="1" applyBorder="1" applyAlignment="1">
      <alignment horizontal="right"/>
    </xf>
    <xf numFmtId="0" fontId="0" fillId="0" borderId="8" xfId="0" applyFill="1" applyBorder="1" applyAlignment="1">
      <alignment horizontal="right"/>
    </xf>
    <xf numFmtId="0" fontId="0" fillId="0" borderId="7" xfId="0" applyFill="1" applyBorder="1" applyAlignment="1">
      <alignment horizontal="right"/>
    </xf>
    <xf numFmtId="3" fontId="0" fillId="0" borderId="7" xfId="0" applyNumberFormat="1" applyFill="1" applyBorder="1"/>
    <xf numFmtId="3" fontId="0" fillId="0" borderId="0" xfId="0" applyNumberFormat="1" applyFill="1" applyBorder="1"/>
    <xf numFmtId="3" fontId="0" fillId="0" borderId="4" xfId="0" applyNumberFormat="1" applyFill="1" applyBorder="1"/>
    <xf numFmtId="3" fontId="0" fillId="0" borderId="1" xfId="0" applyNumberFormat="1" applyFill="1" applyBorder="1"/>
    <xf numFmtId="3" fontId="0" fillId="0" borderId="5" xfId="0" applyNumberFormat="1" applyFill="1" applyBorder="1"/>
    <xf numFmtId="3" fontId="0" fillId="0" borderId="6" xfId="0" applyNumberFormat="1" applyFill="1" applyBorder="1"/>
    <xf numFmtId="3" fontId="3" fillId="0" borderId="3" xfId="0" applyNumberFormat="1" applyFont="1" applyFill="1" applyBorder="1"/>
    <xf numFmtId="0" fontId="0" fillId="0" borderId="0" xfId="0" applyFill="1" applyBorder="1" applyAlignment="1">
      <alignment horizontal="centerContinuous"/>
    </xf>
    <xf numFmtId="3" fontId="0" fillId="0" borderId="2" xfId="0" applyNumberFormat="1" applyFill="1" applyBorder="1"/>
    <xf numFmtId="10" fontId="0" fillId="0" borderId="4" xfId="0" applyNumberFormat="1" applyFill="1" applyBorder="1"/>
    <xf numFmtId="0" fontId="0" fillId="0" borderId="0" xfId="0" quotePrefix="1" applyFill="1" applyAlignment="1">
      <alignment horizontal="left" indent="2"/>
    </xf>
    <xf numFmtId="0" fontId="5" fillId="0" borderId="9" xfId="0" applyFont="1" applyFill="1" applyBorder="1" applyAlignment="1">
      <alignment horizontal="center"/>
    </xf>
    <xf numFmtId="172" fontId="0" fillId="0" borderId="0" xfId="0" quotePrefix="1" applyNumberFormat="1" applyFill="1" applyAlignment="1">
      <alignment horizontal="center"/>
    </xf>
    <xf numFmtId="3" fontId="0" fillId="0" borderId="1" xfId="0" applyNumberFormat="1" applyFill="1" applyBorder="1" applyAlignment="1">
      <alignment horizontal="centerContinuous"/>
    </xf>
    <xf numFmtId="0" fontId="0" fillId="0" borderId="6" xfId="0" applyFill="1" applyBorder="1" applyAlignment="1">
      <alignment horizontal="right"/>
    </xf>
    <xf numFmtId="10" fontId="4" fillId="0" borderId="0" xfId="1" applyNumberFormat="1" applyFont="1" applyFill="1" applyBorder="1"/>
    <xf numFmtId="10" fontId="0" fillId="0" borderId="1" xfId="0" applyNumberFormat="1" applyFill="1" applyBorder="1"/>
    <xf numFmtId="10" fontId="0" fillId="0" borderId="5" xfId="0" applyNumberFormat="1" applyFill="1" applyBorder="1"/>
    <xf numFmtId="172" fontId="0" fillId="0" borderId="0" xfId="0" quotePrefix="1" applyNumberFormat="1" applyFill="1" applyAlignment="1">
      <alignment horizontal="centerContinuous"/>
    </xf>
    <xf numFmtId="0" fontId="0" fillId="0" borderId="8" xfId="0" applyFill="1" applyBorder="1"/>
    <xf numFmtId="0" fontId="0" fillId="0" borderId="7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10" fontId="0" fillId="0" borderId="0" xfId="1" quotePrefix="1" applyNumberFormat="1" applyFont="1" applyFill="1" applyAlignment="1">
      <alignment horizontal="right"/>
    </xf>
    <xf numFmtId="0" fontId="3" fillId="0" borderId="1" xfId="0" applyFont="1" applyFill="1" applyBorder="1"/>
    <xf numFmtId="0" fontId="3" fillId="0" borderId="0" xfId="0" applyFont="1" applyFill="1"/>
    <xf numFmtId="166" fontId="0" fillId="0" borderId="0" xfId="0" applyNumberFormat="1" applyFill="1"/>
    <xf numFmtId="166" fontId="0" fillId="0" borderId="2" xfId="0" applyNumberFormat="1" applyFill="1" applyBorder="1"/>
    <xf numFmtId="0" fontId="3" fillId="0" borderId="12" xfId="0" applyFont="1" applyFill="1" applyBorder="1"/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3" fontId="0" fillId="0" borderId="8" xfId="0" applyNumberFormat="1" applyFill="1" applyBorder="1"/>
    <xf numFmtId="3" fontId="3" fillId="0" borderId="2" xfId="0" applyNumberFormat="1" applyFont="1" applyFill="1" applyBorder="1"/>
    <xf numFmtId="3" fontId="0" fillId="0" borderId="3" xfId="0" applyNumberFormat="1" applyFill="1" applyBorder="1"/>
    <xf numFmtId="3" fontId="8" fillId="0" borderId="0" xfId="0" applyNumberFormat="1" applyFont="1" applyBorder="1" applyAlignment="1">
      <alignment horizontal="right"/>
    </xf>
    <xf numFmtId="0" fontId="0" fillId="0" borderId="4" xfId="0" applyBorder="1" applyAlignment="1">
      <alignment horizontal="centerContinuous"/>
    </xf>
    <xf numFmtId="0" fontId="0" fillId="0" borderId="2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0" xfId="0" applyAlignment="1">
      <alignment horizontal="left"/>
    </xf>
    <xf numFmtId="10" fontId="0" fillId="0" borderId="0" xfId="0" applyNumberFormat="1"/>
    <xf numFmtId="10" fontId="3" fillId="0" borderId="4" xfId="0" applyNumberFormat="1" applyFont="1" applyBorder="1"/>
    <xf numFmtId="14" fontId="0" fillId="0" borderId="3" xfId="0" applyNumberFormat="1" applyBorder="1" applyAlignment="1">
      <alignment horizontal="right"/>
    </xf>
    <xf numFmtId="14" fontId="0" fillId="0" borderId="4" xfId="0" applyNumberFormat="1" applyBorder="1" applyAlignment="1">
      <alignment horizontal="right"/>
    </xf>
    <xf numFmtId="0" fontId="0" fillId="0" borderId="0" xfId="0" quotePrefix="1" applyAlignment="1">
      <alignment horizontal="left"/>
    </xf>
    <xf numFmtId="0" fontId="3" fillId="0" borderId="0" xfId="0" applyFont="1" applyAlignment="1">
      <alignment horizontal="center"/>
    </xf>
    <xf numFmtId="14" fontId="3" fillId="0" borderId="0" xfId="0" applyNumberFormat="1" applyFont="1"/>
    <xf numFmtId="10" fontId="3" fillId="0" borderId="0" xfId="0" applyNumberFormat="1" applyFont="1"/>
    <xf numFmtId="168" fontId="3" fillId="0" borderId="0" xfId="0" applyNumberFormat="1" applyFont="1"/>
    <xf numFmtId="2" fontId="0" fillId="0" borderId="0" xfId="0" applyNumberFormat="1"/>
    <xf numFmtId="0" fontId="0" fillId="0" borderId="2" xfId="0" applyBorder="1" applyAlignment="1">
      <alignment horizontal="center"/>
    </xf>
    <xf numFmtId="14" fontId="0" fillId="0" borderId="2" xfId="0" applyNumberFormat="1" applyBorder="1"/>
    <xf numFmtId="168" fontId="0" fillId="0" borderId="2" xfId="0" applyNumberFormat="1" applyBorder="1"/>
    <xf numFmtId="2" fontId="0" fillId="0" borderId="2" xfId="0" applyNumberFormat="1" applyBorder="1"/>
    <xf numFmtId="170" fontId="0" fillId="0" borderId="0" xfId="0" applyNumberFormat="1"/>
    <xf numFmtId="168" fontId="0" fillId="0" borderId="0" xfId="0" applyNumberFormat="1"/>
    <xf numFmtId="0" fontId="2" fillId="0" borderId="0" xfId="0" applyFont="1" applyAlignment="1">
      <alignment horizontal="left"/>
    </xf>
    <xf numFmtId="0" fontId="7" fillId="0" borderId="0" xfId="0" applyFont="1"/>
    <xf numFmtId="0" fontId="4" fillId="0" borderId="0" xfId="0" applyFont="1"/>
    <xf numFmtId="0" fontId="7" fillId="0" borderId="10" xfId="0" applyFont="1" applyBorder="1"/>
    <xf numFmtId="0" fontId="4" fillId="0" borderId="11" xfId="0" applyFont="1" applyBorder="1"/>
    <xf numFmtId="3" fontId="0" fillId="0" borderId="0" xfId="0" quotePrefix="1" applyNumberFormat="1" applyAlignment="1">
      <alignment horizontal="right"/>
    </xf>
    <xf numFmtId="167" fontId="0" fillId="0" borderId="0" xfId="0" applyNumberFormat="1"/>
    <xf numFmtId="10" fontId="0" fillId="0" borderId="4" xfId="0" applyNumberFormat="1" applyBorder="1"/>
    <xf numFmtId="167" fontId="0" fillId="0" borderId="2" xfId="0" applyNumberFormat="1" applyBorder="1"/>
    <xf numFmtId="10" fontId="0" fillId="0" borderId="2" xfId="0" applyNumberFormat="1" applyBorder="1"/>
    <xf numFmtId="37" fontId="0" fillId="0" borderId="2" xfId="0" applyNumberFormat="1" applyBorder="1"/>
    <xf numFmtId="37" fontId="0" fillId="0" borderId="0" xfId="0" applyNumberFormat="1"/>
    <xf numFmtId="0" fontId="0" fillId="0" borderId="0" xfId="0" quotePrefix="1" applyFill="1" applyAlignment="1">
      <alignment horizontal="left" vertical="top" wrapText="1"/>
    </xf>
    <xf numFmtId="164" fontId="3" fillId="0" borderId="0" xfId="1" applyNumberFormat="1" applyFont="1" applyFill="1" applyBorder="1"/>
    <xf numFmtId="164" fontId="4" fillId="0" borderId="0" xfId="1" applyNumberFormat="1" applyFont="1" applyFill="1" applyBorder="1"/>
    <xf numFmtId="9" fontId="0" fillId="0" borderId="0" xfId="1" applyFont="1" applyFill="1"/>
    <xf numFmtId="10" fontId="0" fillId="0" borderId="4" xfId="1" applyNumberFormat="1" applyFont="1" applyFill="1" applyBorder="1"/>
    <xf numFmtId="10" fontId="3" fillId="0" borderId="9" xfId="1" applyNumberFormat="1" applyFont="1" applyFill="1" applyBorder="1"/>
    <xf numFmtId="168" fontId="4" fillId="0" borderId="0" xfId="0" applyNumberFormat="1" applyFont="1"/>
    <xf numFmtId="10" fontId="3" fillId="0" borderId="13" xfId="1" applyNumberFormat="1" applyFont="1" applyFill="1" applyBorder="1"/>
    <xf numFmtId="10" fontId="0" fillId="0" borderId="0" xfId="1" applyNumberFormat="1" applyFont="1" applyFill="1" applyBorder="1"/>
    <xf numFmtId="171" fontId="4" fillId="0" borderId="0" xfId="1" applyNumberFormat="1" applyFont="1" applyFill="1"/>
  </cellXfs>
  <cellStyles count="2">
    <cellStyle name="Normal" xfId="0" builtinId="0"/>
    <cellStyle name="Percent" xfId="1" builtinId="5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25</xdr:row>
      <xdr:rowOff>9525</xdr:rowOff>
    </xdr:from>
    <xdr:to>
      <xdr:col>6</xdr:col>
      <xdr:colOff>9525</xdr:colOff>
      <xdr:row>29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6A764D90-B751-453C-AC3E-80E5A9A639EE}"/>
            </a:ext>
          </a:extLst>
        </xdr:cNvPr>
        <xdr:cNvCxnSpPr/>
      </xdr:nvCxnSpPr>
      <xdr:spPr>
        <a:xfrm flipH="1">
          <a:off x="3943350" y="4772025"/>
          <a:ext cx="609600" cy="75247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12065</xdr:colOff>
      <xdr:row>33</xdr:row>
      <xdr:rowOff>0</xdr:rowOff>
    </xdr:from>
    <xdr:to>
      <xdr:col>8</xdr:col>
      <xdr:colOff>235323</xdr:colOff>
      <xdr:row>42</xdr:row>
      <xdr:rowOff>78441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C739DBAA-7206-4E14-A0A2-213F17B6DCA6}"/>
            </a:ext>
          </a:extLst>
        </xdr:cNvPr>
        <xdr:cNvCxnSpPr/>
      </xdr:nvCxnSpPr>
      <xdr:spPr>
        <a:xfrm>
          <a:off x="4050665" y="6035040"/>
          <a:ext cx="2676898" cy="1724361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15240</xdr:colOff>
      <xdr:row>180</xdr:row>
      <xdr:rowOff>0</xdr:rowOff>
    </xdr:from>
    <xdr:to>
      <xdr:col>9</xdr:col>
      <xdr:colOff>246530</xdr:colOff>
      <xdr:row>210</xdr:row>
      <xdr:rowOff>44823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31035210-F096-44D0-B8F0-2F04834CE8B3}"/>
            </a:ext>
          </a:extLst>
        </xdr:cNvPr>
        <xdr:cNvCxnSpPr/>
      </xdr:nvCxnSpPr>
      <xdr:spPr>
        <a:xfrm>
          <a:off x="4053840" y="32918400"/>
          <a:ext cx="3523130" cy="553122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410882</xdr:colOff>
      <xdr:row>8</xdr:row>
      <xdr:rowOff>29882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C05F142-9B74-4434-B6C3-24D0432604F4}"/>
            </a:ext>
          </a:extLst>
        </xdr:cNvPr>
        <xdr:cNvSpPr txBox="1"/>
      </xdr:nvSpPr>
      <xdr:spPr>
        <a:xfrm>
          <a:off x="1157941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20128be%20-%20fix%20to%20App2%20cells%20H188%20and%20D189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1-Payment Pattern"/>
      <sheetName val="2-Current Curve"/>
      <sheetName val="3-Current"/>
      <sheetName val="5-Summary"/>
      <sheetName val="6-Income Statement Calculations"/>
      <sheetName val="7-Financial Statements"/>
    </sheetNames>
    <sheetDataSet>
      <sheetData sheetId="0">
        <row r="2">
          <cell r="B2" t="str">
            <v>Company ABC</v>
          </cell>
        </row>
        <row r="4">
          <cell r="B4">
            <v>44926</v>
          </cell>
        </row>
      </sheetData>
      <sheetData sheetId="1">
        <row r="12">
          <cell r="A12">
            <v>180</v>
          </cell>
          <cell r="B12">
            <v>0</v>
          </cell>
          <cell r="C12">
            <v>1</v>
          </cell>
        </row>
        <row r="13">
          <cell r="A13">
            <v>168</v>
          </cell>
          <cell r="B13">
            <v>0</v>
          </cell>
          <cell r="C13">
            <v>1</v>
          </cell>
        </row>
        <row r="14">
          <cell r="A14">
            <v>156</v>
          </cell>
          <cell r="B14">
            <v>0</v>
          </cell>
          <cell r="C14">
            <v>1</v>
          </cell>
        </row>
        <row r="15">
          <cell r="A15">
            <v>144</v>
          </cell>
          <cell r="B15">
            <v>0</v>
          </cell>
          <cell r="C15">
            <v>1</v>
          </cell>
        </row>
        <row r="16">
          <cell r="A16">
            <v>132</v>
          </cell>
          <cell r="B16">
            <v>0</v>
          </cell>
          <cell r="C16">
            <v>1</v>
          </cell>
        </row>
        <row r="17">
          <cell r="A17">
            <v>120</v>
          </cell>
          <cell r="B17">
            <v>2.5000000000000001E-2</v>
          </cell>
          <cell r="C17">
            <v>1</v>
          </cell>
        </row>
        <row r="18">
          <cell r="A18">
            <v>108</v>
          </cell>
          <cell r="B18">
            <v>2.5000000000000001E-2</v>
          </cell>
          <cell r="C18">
            <v>0.97499999999999998</v>
          </cell>
        </row>
        <row r="19">
          <cell r="A19">
            <v>96</v>
          </cell>
          <cell r="B19">
            <v>0.05</v>
          </cell>
          <cell r="C19">
            <v>0.95</v>
          </cell>
        </row>
        <row r="20">
          <cell r="A20">
            <v>84</v>
          </cell>
          <cell r="B20">
            <v>0.05</v>
          </cell>
          <cell r="C20">
            <v>0.89999999999999991</v>
          </cell>
        </row>
        <row r="21">
          <cell r="A21">
            <v>72</v>
          </cell>
          <cell r="B21">
            <v>7.4999999999999997E-2</v>
          </cell>
          <cell r="C21">
            <v>0.84999999999999987</v>
          </cell>
        </row>
        <row r="22">
          <cell r="A22">
            <v>60</v>
          </cell>
          <cell r="B22">
            <v>7.4999999999999997E-2</v>
          </cell>
          <cell r="C22">
            <v>0.77499999999999991</v>
          </cell>
        </row>
        <row r="23">
          <cell r="A23">
            <v>48</v>
          </cell>
          <cell r="B23">
            <v>0.1</v>
          </cell>
          <cell r="C23">
            <v>0.7</v>
          </cell>
        </row>
        <row r="24">
          <cell r="A24">
            <v>36</v>
          </cell>
          <cell r="B24">
            <v>0.15</v>
          </cell>
          <cell r="C24">
            <v>0.6</v>
          </cell>
        </row>
        <row r="25">
          <cell r="A25">
            <v>24</v>
          </cell>
          <cell r="B25">
            <v>0.2</v>
          </cell>
          <cell r="C25">
            <v>0.45</v>
          </cell>
        </row>
        <row r="26">
          <cell r="A26">
            <v>12</v>
          </cell>
          <cell r="B26">
            <v>0.25</v>
          </cell>
          <cell r="C26">
            <v>0.25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DD43B-7A9C-424B-9555-9811241B82AF}">
  <dimension ref="A2:B4"/>
  <sheetViews>
    <sheetView tabSelected="1" workbookViewId="0"/>
  </sheetViews>
  <sheetFormatPr defaultRowHeight="14.4" x14ac:dyDescent="0.3"/>
  <cols>
    <col min="1" max="1" width="18.21875" customWidth="1"/>
    <col min="2" max="2" width="10.77734375" bestFit="1" customWidth="1"/>
  </cols>
  <sheetData>
    <row r="2" spans="1:2" x14ac:dyDescent="0.3">
      <c r="A2" t="s">
        <v>53</v>
      </c>
      <c r="B2" t="s">
        <v>1</v>
      </c>
    </row>
    <row r="4" spans="1:2" x14ac:dyDescent="0.3">
      <c r="A4" t="s">
        <v>6</v>
      </c>
      <c r="B4" s="4">
        <f>DATE(2022,12,31)</f>
        <v>44926</v>
      </c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90AB1-B8CF-4EF9-88DA-3AD6929C8CF4}">
  <dimension ref="A1:AM67"/>
  <sheetViews>
    <sheetView view="pageBreakPreview" zoomScale="85" zoomScaleNormal="85" zoomScaleSheetLayoutView="85" workbookViewId="0">
      <selection activeCell="B24" sqref="B24"/>
    </sheetView>
  </sheetViews>
  <sheetFormatPr defaultColWidth="11.77734375" defaultRowHeight="14.4" outlineLevelCol="1" x14ac:dyDescent="0.3"/>
  <cols>
    <col min="1" max="1" width="10" style="34" customWidth="1"/>
    <col min="2" max="4" width="12.77734375" style="34" customWidth="1"/>
    <col min="5" max="14" width="10" style="34" customWidth="1"/>
    <col min="15" max="19" width="10" style="34" hidden="1" customWidth="1" outlineLevel="1"/>
    <col min="20" max="20" width="10" style="34" customWidth="1" collapsed="1"/>
    <col min="21" max="16384" width="11.77734375" style="34"/>
  </cols>
  <sheetData>
    <row r="1" spans="1:39" x14ac:dyDescent="0.3">
      <c r="A1" s="80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</row>
    <row r="2" spans="1:39" x14ac:dyDescent="0.3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39" x14ac:dyDescent="0.3">
      <c r="A3" s="80" t="str">
        <f>CompanyName</f>
        <v>Company ABC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39" x14ac:dyDescent="0.3">
      <c r="A4" s="81" t="s">
        <v>8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39" x14ac:dyDescent="0.3">
      <c r="A5" s="81" t="str">
        <f>"As at "&amp;TEXT(ValDate,"mmmm dd, yyyy")</f>
        <v>As at December 31, 2022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9" spans="1:39" s="73" customFormat="1" x14ac:dyDescent="0.3">
      <c r="A9" s="82" t="s">
        <v>14</v>
      </c>
      <c r="B9" s="83" t="s">
        <v>15</v>
      </c>
      <c r="C9" s="83" t="s">
        <v>16</v>
      </c>
      <c r="D9" s="83" t="s">
        <v>119</v>
      </c>
      <c r="E9" s="83" t="s">
        <v>154</v>
      </c>
      <c r="F9" s="83" t="s">
        <v>155</v>
      </c>
      <c r="G9" s="83" t="s">
        <v>156</v>
      </c>
      <c r="H9" s="83" t="s">
        <v>157</v>
      </c>
      <c r="I9" s="83" t="s">
        <v>158</v>
      </c>
      <c r="J9" s="83" t="s">
        <v>159</v>
      </c>
      <c r="K9" s="83" t="s">
        <v>160</v>
      </c>
      <c r="L9" s="83" t="s">
        <v>161</v>
      </c>
      <c r="M9" s="83" t="s">
        <v>162</v>
      </c>
      <c r="N9" s="83" t="s">
        <v>163</v>
      </c>
      <c r="O9" s="83" t="s">
        <v>164</v>
      </c>
      <c r="P9" s="83" t="s">
        <v>165</v>
      </c>
      <c r="Q9" s="83" t="s">
        <v>166</v>
      </c>
      <c r="R9" s="83" t="s">
        <v>167</v>
      </c>
      <c r="S9" s="83" t="s">
        <v>168</v>
      </c>
      <c r="T9" s="83" t="s">
        <v>121</v>
      </c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</row>
    <row r="10" spans="1:39" x14ac:dyDescent="0.3">
      <c r="A10" s="76"/>
      <c r="B10" s="73" t="s">
        <v>4</v>
      </c>
      <c r="C10" s="73" t="s">
        <v>5</v>
      </c>
      <c r="D10" s="73" t="s">
        <v>18</v>
      </c>
      <c r="E10" s="77" t="s">
        <v>19</v>
      </c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</row>
    <row r="11" spans="1:39" x14ac:dyDescent="0.3">
      <c r="A11" s="71" t="s">
        <v>3</v>
      </c>
      <c r="B11" s="25" t="s">
        <v>94</v>
      </c>
      <c r="C11" s="25" t="s">
        <v>94</v>
      </c>
      <c r="D11" s="25" t="s">
        <v>230</v>
      </c>
      <c r="E11" s="25">
        <f>YEAR(ValDate)+1</f>
        <v>2023</v>
      </c>
      <c r="F11" s="25">
        <f t="shared" ref="F11:S11" si="0">+E11+1</f>
        <v>2024</v>
      </c>
      <c r="G11" s="25">
        <f t="shared" si="0"/>
        <v>2025</v>
      </c>
      <c r="H11" s="25">
        <f t="shared" si="0"/>
        <v>2026</v>
      </c>
      <c r="I11" s="25">
        <f t="shared" si="0"/>
        <v>2027</v>
      </c>
      <c r="J11" s="25">
        <f t="shared" si="0"/>
        <v>2028</v>
      </c>
      <c r="K11" s="25">
        <f t="shared" si="0"/>
        <v>2029</v>
      </c>
      <c r="L11" s="25">
        <f t="shared" si="0"/>
        <v>2030</v>
      </c>
      <c r="M11" s="25">
        <f t="shared" si="0"/>
        <v>2031</v>
      </c>
      <c r="N11" s="25">
        <f t="shared" si="0"/>
        <v>2032</v>
      </c>
      <c r="O11" s="25">
        <f t="shared" si="0"/>
        <v>2033</v>
      </c>
      <c r="P11" s="25">
        <f t="shared" si="0"/>
        <v>2034</v>
      </c>
      <c r="Q11" s="25">
        <f t="shared" si="0"/>
        <v>2035</v>
      </c>
      <c r="R11" s="25">
        <f t="shared" si="0"/>
        <v>2036</v>
      </c>
      <c r="S11" s="25">
        <f t="shared" si="0"/>
        <v>2037</v>
      </c>
      <c r="T11" s="25" t="s">
        <v>30</v>
      </c>
    </row>
    <row r="12" spans="1:39" x14ac:dyDescent="0.3">
      <c r="A12" s="76">
        <v>180</v>
      </c>
      <c r="B12" s="85">
        <v>0</v>
      </c>
      <c r="C12" s="86">
        <f t="shared" ref="C12:C24" si="1">B12+C13</f>
        <v>1</v>
      </c>
      <c r="D12" s="87">
        <f t="shared" ref="D12:D26" si="2">1-VLOOKUP($A53,PaymentPattern,3,0)</f>
        <v>0</v>
      </c>
      <c r="E12" s="88">
        <f t="shared" ref="E12:E26" si="3">IF(D12=0%,100%,IFERROR(VLOOKUP($A53+(E$11-YEAR(ValDate))*12,PaymentPattern,2,0)/$D12,0))</f>
        <v>1</v>
      </c>
      <c r="F12" s="88">
        <f t="shared" ref="F12:S12" si="4">IFERROR(VLOOKUP($A53+(F$11-YEAR(ValDate))*12,PaymentPattern,2,0)/$D12,0)</f>
        <v>0</v>
      </c>
      <c r="G12" s="88">
        <f t="shared" si="4"/>
        <v>0</v>
      </c>
      <c r="H12" s="88">
        <f t="shared" si="4"/>
        <v>0</v>
      </c>
      <c r="I12" s="88">
        <f t="shared" si="4"/>
        <v>0</v>
      </c>
      <c r="J12" s="88">
        <f t="shared" si="4"/>
        <v>0</v>
      </c>
      <c r="K12" s="88">
        <f t="shared" si="4"/>
        <v>0</v>
      </c>
      <c r="L12" s="88">
        <f t="shared" si="4"/>
        <v>0</v>
      </c>
      <c r="M12" s="88">
        <f t="shared" si="4"/>
        <v>0</v>
      </c>
      <c r="N12" s="88">
        <f t="shared" si="4"/>
        <v>0</v>
      </c>
      <c r="O12" s="88">
        <f t="shared" si="4"/>
        <v>0</v>
      </c>
      <c r="P12" s="88">
        <f t="shared" si="4"/>
        <v>0</v>
      </c>
      <c r="Q12" s="88">
        <f t="shared" si="4"/>
        <v>0</v>
      </c>
      <c r="R12" s="88">
        <f t="shared" si="4"/>
        <v>0</v>
      </c>
      <c r="S12" s="88">
        <f t="shared" si="4"/>
        <v>0</v>
      </c>
      <c r="T12" s="89">
        <f t="shared" ref="T12:T16" si="5">SUM(E12:N12)</f>
        <v>1</v>
      </c>
    </row>
    <row r="13" spans="1:39" x14ac:dyDescent="0.3">
      <c r="A13" s="76">
        <f>+A12-12</f>
        <v>168</v>
      </c>
      <c r="B13" s="85">
        <v>0</v>
      </c>
      <c r="C13" s="86">
        <f t="shared" si="1"/>
        <v>1</v>
      </c>
      <c r="D13" s="90">
        <f t="shared" si="2"/>
        <v>0</v>
      </c>
      <c r="E13" s="88">
        <f t="shared" si="3"/>
        <v>1</v>
      </c>
      <c r="F13" s="88">
        <f t="shared" ref="F13:S13" si="6">IFERROR(VLOOKUP($A54+(F$11-YEAR(ValDate))*12,PaymentPattern,2,0)/$D13,0)</f>
        <v>0</v>
      </c>
      <c r="G13" s="88">
        <f t="shared" si="6"/>
        <v>0</v>
      </c>
      <c r="H13" s="88">
        <f t="shared" si="6"/>
        <v>0</v>
      </c>
      <c r="I13" s="88">
        <f t="shared" si="6"/>
        <v>0</v>
      </c>
      <c r="J13" s="88">
        <f t="shared" si="6"/>
        <v>0</v>
      </c>
      <c r="K13" s="88">
        <f t="shared" si="6"/>
        <v>0</v>
      </c>
      <c r="L13" s="88">
        <f t="shared" si="6"/>
        <v>0</v>
      </c>
      <c r="M13" s="88">
        <f t="shared" si="6"/>
        <v>0</v>
      </c>
      <c r="N13" s="88">
        <f t="shared" si="6"/>
        <v>0</v>
      </c>
      <c r="O13" s="88">
        <f t="shared" si="6"/>
        <v>0</v>
      </c>
      <c r="P13" s="88">
        <f t="shared" si="6"/>
        <v>0</v>
      </c>
      <c r="Q13" s="88">
        <f t="shared" si="6"/>
        <v>0</v>
      </c>
      <c r="R13" s="88">
        <f t="shared" si="6"/>
        <v>0</v>
      </c>
      <c r="S13" s="88">
        <f t="shared" si="6"/>
        <v>0</v>
      </c>
      <c r="T13" s="89">
        <f t="shared" si="5"/>
        <v>1</v>
      </c>
    </row>
    <row r="14" spans="1:39" x14ac:dyDescent="0.3">
      <c r="A14" s="76">
        <f t="shared" ref="A14:A26" si="7">+A13-12</f>
        <v>156</v>
      </c>
      <c r="B14" s="85">
        <v>0</v>
      </c>
      <c r="C14" s="86">
        <f t="shared" si="1"/>
        <v>1</v>
      </c>
      <c r="D14" s="90">
        <f t="shared" si="2"/>
        <v>0</v>
      </c>
      <c r="E14" s="88">
        <f t="shared" si="3"/>
        <v>1</v>
      </c>
      <c r="F14" s="88">
        <f t="shared" ref="F14:S14" si="8">IFERROR(VLOOKUP($A55+(F$11-YEAR(ValDate))*12,PaymentPattern,2,0)/$D14,0)</f>
        <v>0</v>
      </c>
      <c r="G14" s="88">
        <f t="shared" si="8"/>
        <v>0</v>
      </c>
      <c r="H14" s="88">
        <f t="shared" si="8"/>
        <v>0</v>
      </c>
      <c r="I14" s="88">
        <f t="shared" si="8"/>
        <v>0</v>
      </c>
      <c r="J14" s="88">
        <f t="shared" si="8"/>
        <v>0</v>
      </c>
      <c r="K14" s="88">
        <f t="shared" si="8"/>
        <v>0</v>
      </c>
      <c r="L14" s="88">
        <f t="shared" si="8"/>
        <v>0</v>
      </c>
      <c r="M14" s="88">
        <f t="shared" si="8"/>
        <v>0</v>
      </c>
      <c r="N14" s="88">
        <f t="shared" si="8"/>
        <v>0</v>
      </c>
      <c r="O14" s="88">
        <f t="shared" si="8"/>
        <v>0</v>
      </c>
      <c r="P14" s="88">
        <f t="shared" si="8"/>
        <v>0</v>
      </c>
      <c r="Q14" s="88">
        <f t="shared" si="8"/>
        <v>0</v>
      </c>
      <c r="R14" s="88">
        <f t="shared" si="8"/>
        <v>0</v>
      </c>
      <c r="S14" s="88">
        <f t="shared" si="8"/>
        <v>0</v>
      </c>
      <c r="T14" s="89">
        <f t="shared" si="5"/>
        <v>1</v>
      </c>
    </row>
    <row r="15" spans="1:39" x14ac:dyDescent="0.3">
      <c r="A15" s="76">
        <f t="shared" si="7"/>
        <v>144</v>
      </c>
      <c r="B15" s="85">
        <v>0</v>
      </c>
      <c r="C15" s="86">
        <f t="shared" si="1"/>
        <v>1</v>
      </c>
      <c r="D15" s="90">
        <f t="shared" si="2"/>
        <v>0</v>
      </c>
      <c r="E15" s="88">
        <f t="shared" si="3"/>
        <v>1</v>
      </c>
      <c r="F15" s="88">
        <f t="shared" ref="F15:S15" si="9">IFERROR(VLOOKUP($A56+(F$11-YEAR(ValDate))*12,PaymentPattern,2,0)/$D15,0)</f>
        <v>0</v>
      </c>
      <c r="G15" s="88">
        <f t="shared" si="9"/>
        <v>0</v>
      </c>
      <c r="H15" s="88">
        <f t="shared" si="9"/>
        <v>0</v>
      </c>
      <c r="I15" s="88">
        <f t="shared" si="9"/>
        <v>0</v>
      </c>
      <c r="J15" s="88">
        <f t="shared" si="9"/>
        <v>0</v>
      </c>
      <c r="K15" s="88">
        <f t="shared" si="9"/>
        <v>0</v>
      </c>
      <c r="L15" s="88">
        <f t="shared" si="9"/>
        <v>0</v>
      </c>
      <c r="M15" s="88">
        <f t="shared" si="9"/>
        <v>0</v>
      </c>
      <c r="N15" s="88">
        <f t="shared" si="9"/>
        <v>0</v>
      </c>
      <c r="O15" s="88">
        <f t="shared" si="9"/>
        <v>0</v>
      </c>
      <c r="P15" s="88">
        <f t="shared" si="9"/>
        <v>0</v>
      </c>
      <c r="Q15" s="88">
        <f t="shared" si="9"/>
        <v>0</v>
      </c>
      <c r="R15" s="88">
        <f t="shared" si="9"/>
        <v>0</v>
      </c>
      <c r="S15" s="88">
        <f t="shared" si="9"/>
        <v>0</v>
      </c>
      <c r="T15" s="89">
        <f t="shared" si="5"/>
        <v>1</v>
      </c>
    </row>
    <row r="16" spans="1:39" x14ac:dyDescent="0.3">
      <c r="A16" s="76">
        <f t="shared" si="7"/>
        <v>132</v>
      </c>
      <c r="B16" s="85">
        <v>0</v>
      </c>
      <c r="C16" s="86">
        <f t="shared" si="1"/>
        <v>1</v>
      </c>
      <c r="D16" s="90">
        <f t="shared" si="2"/>
        <v>0</v>
      </c>
      <c r="E16" s="88">
        <f t="shared" si="3"/>
        <v>1</v>
      </c>
      <c r="F16" s="88">
        <f t="shared" ref="F16:S16" si="10">IFERROR(VLOOKUP($A57+(F$11-YEAR(ValDate))*12,PaymentPattern,2,0)/$D16,0)</f>
        <v>0</v>
      </c>
      <c r="G16" s="88">
        <f t="shared" si="10"/>
        <v>0</v>
      </c>
      <c r="H16" s="88">
        <f t="shared" si="10"/>
        <v>0</v>
      </c>
      <c r="I16" s="88">
        <f t="shared" si="10"/>
        <v>0</v>
      </c>
      <c r="J16" s="88">
        <f t="shared" si="10"/>
        <v>0</v>
      </c>
      <c r="K16" s="88">
        <f t="shared" si="10"/>
        <v>0</v>
      </c>
      <c r="L16" s="88">
        <f t="shared" si="10"/>
        <v>0</v>
      </c>
      <c r="M16" s="88">
        <f t="shared" si="10"/>
        <v>0</v>
      </c>
      <c r="N16" s="88">
        <f t="shared" si="10"/>
        <v>0</v>
      </c>
      <c r="O16" s="88">
        <f t="shared" si="10"/>
        <v>0</v>
      </c>
      <c r="P16" s="88">
        <f t="shared" si="10"/>
        <v>0</v>
      </c>
      <c r="Q16" s="88">
        <f t="shared" si="10"/>
        <v>0</v>
      </c>
      <c r="R16" s="88">
        <f t="shared" si="10"/>
        <v>0</v>
      </c>
      <c r="S16" s="88">
        <f t="shared" si="10"/>
        <v>0</v>
      </c>
      <c r="T16" s="89">
        <f t="shared" si="5"/>
        <v>1</v>
      </c>
    </row>
    <row r="17" spans="1:20" x14ac:dyDescent="0.3">
      <c r="A17" s="76">
        <f t="shared" si="7"/>
        <v>120</v>
      </c>
      <c r="B17" s="85">
        <v>2.5000000000000001E-2</v>
      </c>
      <c r="C17" s="86">
        <f t="shared" si="1"/>
        <v>1</v>
      </c>
      <c r="D17" s="90">
        <f t="shared" si="2"/>
        <v>0</v>
      </c>
      <c r="E17" s="88">
        <f t="shared" si="3"/>
        <v>1</v>
      </c>
      <c r="F17" s="88">
        <f t="shared" ref="F17:S17" si="11">IFERROR(VLOOKUP($A58+(F$11-YEAR(ValDate))*12,PaymentPattern,2,0)/$D17,0)</f>
        <v>0</v>
      </c>
      <c r="G17" s="88">
        <f t="shared" si="11"/>
        <v>0</v>
      </c>
      <c r="H17" s="88">
        <f t="shared" si="11"/>
        <v>0</v>
      </c>
      <c r="I17" s="88">
        <f t="shared" si="11"/>
        <v>0</v>
      </c>
      <c r="J17" s="88">
        <f t="shared" si="11"/>
        <v>0</v>
      </c>
      <c r="K17" s="88">
        <f t="shared" si="11"/>
        <v>0</v>
      </c>
      <c r="L17" s="88">
        <f t="shared" si="11"/>
        <v>0</v>
      </c>
      <c r="M17" s="88">
        <f t="shared" si="11"/>
        <v>0</v>
      </c>
      <c r="N17" s="88">
        <f t="shared" si="11"/>
        <v>0</v>
      </c>
      <c r="O17" s="88">
        <f t="shared" si="11"/>
        <v>0</v>
      </c>
      <c r="P17" s="88">
        <f t="shared" si="11"/>
        <v>0</v>
      </c>
      <c r="Q17" s="88">
        <f t="shared" si="11"/>
        <v>0</v>
      </c>
      <c r="R17" s="88">
        <f t="shared" si="11"/>
        <v>0</v>
      </c>
      <c r="S17" s="88">
        <f t="shared" si="11"/>
        <v>0</v>
      </c>
      <c r="T17" s="89">
        <f t="shared" ref="T17:T26" si="12">SUM(E17:N17)</f>
        <v>1</v>
      </c>
    </row>
    <row r="18" spans="1:20" x14ac:dyDescent="0.3">
      <c r="A18" s="76">
        <f t="shared" si="7"/>
        <v>108</v>
      </c>
      <c r="B18" s="85">
        <v>2.5000000000000001E-2</v>
      </c>
      <c r="C18" s="86">
        <f t="shared" si="1"/>
        <v>0.97499999999999998</v>
      </c>
      <c r="D18" s="90">
        <f t="shared" si="2"/>
        <v>2.5000000000000022E-2</v>
      </c>
      <c r="E18" s="88">
        <f t="shared" si="3"/>
        <v>0.99999999999999911</v>
      </c>
      <c r="F18" s="88">
        <f t="shared" ref="F18:S18" si="13">IFERROR(VLOOKUP($A59+(F$11-YEAR(ValDate))*12,PaymentPattern,2,0)/$D18,0)</f>
        <v>0</v>
      </c>
      <c r="G18" s="88">
        <f t="shared" si="13"/>
        <v>0</v>
      </c>
      <c r="H18" s="88">
        <f t="shared" si="13"/>
        <v>0</v>
      </c>
      <c r="I18" s="88">
        <f t="shared" si="13"/>
        <v>0</v>
      </c>
      <c r="J18" s="88">
        <f t="shared" si="13"/>
        <v>0</v>
      </c>
      <c r="K18" s="88">
        <f t="shared" si="13"/>
        <v>0</v>
      </c>
      <c r="L18" s="88">
        <f t="shared" si="13"/>
        <v>0</v>
      </c>
      <c r="M18" s="88">
        <f t="shared" si="13"/>
        <v>0</v>
      </c>
      <c r="N18" s="88">
        <f t="shared" si="13"/>
        <v>0</v>
      </c>
      <c r="O18" s="88">
        <f t="shared" si="13"/>
        <v>0</v>
      </c>
      <c r="P18" s="88">
        <f t="shared" si="13"/>
        <v>0</v>
      </c>
      <c r="Q18" s="88">
        <f t="shared" si="13"/>
        <v>0</v>
      </c>
      <c r="R18" s="88">
        <f t="shared" si="13"/>
        <v>0</v>
      </c>
      <c r="S18" s="88">
        <f t="shared" si="13"/>
        <v>0</v>
      </c>
      <c r="T18" s="89">
        <f t="shared" si="12"/>
        <v>0.99999999999999911</v>
      </c>
    </row>
    <row r="19" spans="1:20" x14ac:dyDescent="0.3">
      <c r="A19" s="76">
        <f t="shared" si="7"/>
        <v>96</v>
      </c>
      <c r="B19" s="85">
        <v>0.05</v>
      </c>
      <c r="C19" s="86">
        <f t="shared" si="1"/>
        <v>0.95</v>
      </c>
      <c r="D19" s="90">
        <f t="shared" si="2"/>
        <v>5.0000000000000044E-2</v>
      </c>
      <c r="E19" s="88">
        <f t="shared" si="3"/>
        <v>0.49999999999999956</v>
      </c>
      <c r="F19" s="88">
        <f t="shared" ref="F19:S19" si="14">IFERROR(VLOOKUP($A60+(F$11-YEAR(ValDate))*12,PaymentPattern,2,0)/$D19,0)</f>
        <v>0.49999999999999956</v>
      </c>
      <c r="G19" s="88">
        <f t="shared" si="14"/>
        <v>0</v>
      </c>
      <c r="H19" s="88">
        <f t="shared" si="14"/>
        <v>0</v>
      </c>
      <c r="I19" s="88">
        <f t="shared" si="14"/>
        <v>0</v>
      </c>
      <c r="J19" s="88">
        <f t="shared" si="14"/>
        <v>0</v>
      </c>
      <c r="K19" s="88">
        <f t="shared" si="14"/>
        <v>0</v>
      </c>
      <c r="L19" s="88">
        <f t="shared" si="14"/>
        <v>0</v>
      </c>
      <c r="M19" s="88">
        <f t="shared" si="14"/>
        <v>0</v>
      </c>
      <c r="N19" s="88">
        <f t="shared" si="14"/>
        <v>0</v>
      </c>
      <c r="O19" s="88">
        <f t="shared" si="14"/>
        <v>0</v>
      </c>
      <c r="P19" s="88">
        <f t="shared" si="14"/>
        <v>0</v>
      </c>
      <c r="Q19" s="88">
        <f t="shared" si="14"/>
        <v>0</v>
      </c>
      <c r="R19" s="88">
        <f t="shared" si="14"/>
        <v>0</v>
      </c>
      <c r="S19" s="88">
        <f t="shared" si="14"/>
        <v>0</v>
      </c>
      <c r="T19" s="89">
        <f t="shared" si="12"/>
        <v>0.99999999999999911</v>
      </c>
    </row>
    <row r="20" spans="1:20" x14ac:dyDescent="0.3">
      <c r="A20" s="76">
        <f t="shared" si="7"/>
        <v>84</v>
      </c>
      <c r="B20" s="85">
        <v>0.05</v>
      </c>
      <c r="C20" s="86">
        <f t="shared" si="1"/>
        <v>0.89999999999999991</v>
      </c>
      <c r="D20" s="90">
        <f t="shared" si="2"/>
        <v>0.10000000000000009</v>
      </c>
      <c r="E20" s="88">
        <f t="shared" si="3"/>
        <v>0.49999999999999956</v>
      </c>
      <c r="F20" s="88">
        <f t="shared" ref="F20:S20" si="15">IFERROR(VLOOKUP($A61+(F$11-YEAR(ValDate))*12,PaymentPattern,2,0)/$D20,0)</f>
        <v>0.24999999999999978</v>
      </c>
      <c r="G20" s="88">
        <f t="shared" si="15"/>
        <v>0.24999999999999978</v>
      </c>
      <c r="H20" s="88">
        <f t="shared" si="15"/>
        <v>0</v>
      </c>
      <c r="I20" s="88">
        <f t="shared" si="15"/>
        <v>0</v>
      </c>
      <c r="J20" s="88">
        <f t="shared" si="15"/>
        <v>0</v>
      </c>
      <c r="K20" s="88">
        <f t="shared" si="15"/>
        <v>0</v>
      </c>
      <c r="L20" s="88">
        <f t="shared" si="15"/>
        <v>0</v>
      </c>
      <c r="M20" s="88">
        <f t="shared" si="15"/>
        <v>0</v>
      </c>
      <c r="N20" s="88">
        <f t="shared" si="15"/>
        <v>0</v>
      </c>
      <c r="O20" s="88">
        <f t="shared" si="15"/>
        <v>0</v>
      </c>
      <c r="P20" s="88">
        <f t="shared" si="15"/>
        <v>0</v>
      </c>
      <c r="Q20" s="88">
        <f t="shared" si="15"/>
        <v>0</v>
      </c>
      <c r="R20" s="88">
        <f t="shared" si="15"/>
        <v>0</v>
      </c>
      <c r="S20" s="88">
        <f t="shared" si="15"/>
        <v>0</v>
      </c>
      <c r="T20" s="89">
        <f t="shared" si="12"/>
        <v>0.99999999999999911</v>
      </c>
    </row>
    <row r="21" spans="1:20" x14ac:dyDescent="0.3">
      <c r="A21" s="76">
        <f t="shared" si="7"/>
        <v>72</v>
      </c>
      <c r="B21" s="85">
        <v>7.4999999999999997E-2</v>
      </c>
      <c r="C21" s="86">
        <f t="shared" si="1"/>
        <v>0.84999999999999987</v>
      </c>
      <c r="D21" s="90">
        <f t="shared" si="2"/>
        <v>0.15000000000000013</v>
      </c>
      <c r="E21" s="88">
        <f t="shared" si="3"/>
        <v>0.33333333333333304</v>
      </c>
      <c r="F21" s="88">
        <f t="shared" ref="F21:S21" si="16">IFERROR(VLOOKUP($A62+(F$11-YEAR(ValDate))*12,PaymentPattern,2,0)/$D21,0)</f>
        <v>0.33333333333333304</v>
      </c>
      <c r="G21" s="88">
        <f t="shared" si="16"/>
        <v>0.16666666666666652</v>
      </c>
      <c r="H21" s="88">
        <f t="shared" si="16"/>
        <v>0.16666666666666652</v>
      </c>
      <c r="I21" s="88">
        <f t="shared" si="16"/>
        <v>0</v>
      </c>
      <c r="J21" s="88">
        <f t="shared" si="16"/>
        <v>0</v>
      </c>
      <c r="K21" s="88">
        <f t="shared" si="16"/>
        <v>0</v>
      </c>
      <c r="L21" s="88">
        <f t="shared" si="16"/>
        <v>0</v>
      </c>
      <c r="M21" s="88">
        <f t="shared" si="16"/>
        <v>0</v>
      </c>
      <c r="N21" s="88">
        <f t="shared" si="16"/>
        <v>0</v>
      </c>
      <c r="O21" s="88">
        <f t="shared" si="16"/>
        <v>0</v>
      </c>
      <c r="P21" s="88">
        <f t="shared" si="16"/>
        <v>0</v>
      </c>
      <c r="Q21" s="88">
        <f t="shared" si="16"/>
        <v>0</v>
      </c>
      <c r="R21" s="88">
        <f t="shared" si="16"/>
        <v>0</v>
      </c>
      <c r="S21" s="88">
        <f t="shared" si="16"/>
        <v>0</v>
      </c>
      <c r="T21" s="89">
        <f t="shared" si="12"/>
        <v>0.99999999999999911</v>
      </c>
    </row>
    <row r="22" spans="1:20" x14ac:dyDescent="0.3">
      <c r="A22" s="76">
        <f t="shared" si="7"/>
        <v>60</v>
      </c>
      <c r="B22" s="85">
        <v>7.4999999999999997E-2</v>
      </c>
      <c r="C22" s="86">
        <f t="shared" si="1"/>
        <v>0.77499999999999991</v>
      </c>
      <c r="D22" s="90">
        <f t="shared" si="2"/>
        <v>0.22500000000000009</v>
      </c>
      <c r="E22" s="88">
        <f t="shared" si="3"/>
        <v>0.3333333333333332</v>
      </c>
      <c r="F22" s="88">
        <f t="shared" ref="F22:S22" si="17">IFERROR(VLOOKUP($A63+(F$11-YEAR(ValDate))*12,PaymentPattern,2,0)/$D22,0)</f>
        <v>0.22222222222222215</v>
      </c>
      <c r="G22" s="88">
        <f t="shared" si="17"/>
        <v>0.22222222222222215</v>
      </c>
      <c r="H22" s="88">
        <f t="shared" si="17"/>
        <v>0.11111111111111108</v>
      </c>
      <c r="I22" s="88">
        <f t="shared" si="17"/>
        <v>0.11111111111111108</v>
      </c>
      <c r="J22" s="88">
        <f t="shared" si="17"/>
        <v>0</v>
      </c>
      <c r="K22" s="88">
        <f t="shared" si="17"/>
        <v>0</v>
      </c>
      <c r="L22" s="88">
        <f t="shared" si="17"/>
        <v>0</v>
      </c>
      <c r="M22" s="88">
        <f t="shared" si="17"/>
        <v>0</v>
      </c>
      <c r="N22" s="88">
        <f t="shared" si="17"/>
        <v>0</v>
      </c>
      <c r="O22" s="88">
        <f t="shared" si="17"/>
        <v>0</v>
      </c>
      <c r="P22" s="88">
        <f t="shared" si="17"/>
        <v>0</v>
      </c>
      <c r="Q22" s="88">
        <f t="shared" si="17"/>
        <v>0</v>
      </c>
      <c r="R22" s="88">
        <f t="shared" si="17"/>
        <v>0</v>
      </c>
      <c r="S22" s="88">
        <f t="shared" si="17"/>
        <v>0</v>
      </c>
      <c r="T22" s="89">
        <f t="shared" si="12"/>
        <v>0.99999999999999956</v>
      </c>
    </row>
    <row r="23" spans="1:20" x14ac:dyDescent="0.3">
      <c r="A23" s="76">
        <f t="shared" si="7"/>
        <v>48</v>
      </c>
      <c r="B23" s="85">
        <v>0.1</v>
      </c>
      <c r="C23" s="86">
        <f t="shared" si="1"/>
        <v>0.7</v>
      </c>
      <c r="D23" s="90">
        <f t="shared" si="2"/>
        <v>0.30000000000000004</v>
      </c>
      <c r="E23" s="88">
        <f t="shared" si="3"/>
        <v>0.24999999999999994</v>
      </c>
      <c r="F23" s="88">
        <f t="shared" ref="F23:S23" si="18">IFERROR(VLOOKUP($A64+(F$11-YEAR(ValDate))*12,PaymentPattern,2,0)/$D23,0)</f>
        <v>0.24999999999999994</v>
      </c>
      <c r="G23" s="88">
        <f t="shared" si="18"/>
        <v>0.16666666666666666</v>
      </c>
      <c r="H23" s="88">
        <f t="shared" si="18"/>
        <v>0.16666666666666666</v>
      </c>
      <c r="I23" s="88">
        <f t="shared" si="18"/>
        <v>8.3333333333333329E-2</v>
      </c>
      <c r="J23" s="88">
        <f t="shared" si="18"/>
        <v>8.3333333333333329E-2</v>
      </c>
      <c r="K23" s="88">
        <f t="shared" si="18"/>
        <v>0</v>
      </c>
      <c r="L23" s="88">
        <f t="shared" si="18"/>
        <v>0</v>
      </c>
      <c r="M23" s="88">
        <f t="shared" si="18"/>
        <v>0</v>
      </c>
      <c r="N23" s="88">
        <f t="shared" si="18"/>
        <v>0</v>
      </c>
      <c r="O23" s="88">
        <f t="shared" si="18"/>
        <v>0</v>
      </c>
      <c r="P23" s="88">
        <f t="shared" si="18"/>
        <v>0</v>
      </c>
      <c r="Q23" s="88">
        <f t="shared" si="18"/>
        <v>0</v>
      </c>
      <c r="R23" s="88">
        <f t="shared" si="18"/>
        <v>0</v>
      </c>
      <c r="S23" s="88">
        <f t="shared" si="18"/>
        <v>0</v>
      </c>
      <c r="T23" s="89">
        <f t="shared" si="12"/>
        <v>0.99999999999999989</v>
      </c>
    </row>
    <row r="24" spans="1:20" x14ac:dyDescent="0.3">
      <c r="A24" s="76">
        <f t="shared" si="7"/>
        <v>36</v>
      </c>
      <c r="B24" s="85">
        <v>0.15</v>
      </c>
      <c r="C24" s="86">
        <f t="shared" si="1"/>
        <v>0.6</v>
      </c>
      <c r="D24" s="90">
        <f t="shared" si="2"/>
        <v>0.4</v>
      </c>
      <c r="E24" s="88">
        <f t="shared" si="3"/>
        <v>0.25</v>
      </c>
      <c r="F24" s="88">
        <f t="shared" ref="F24:S24" si="19">IFERROR(VLOOKUP($A65+(F$11-YEAR(ValDate))*12,PaymentPattern,2,0)/$D24,0)</f>
        <v>0.18749999999999997</v>
      </c>
      <c r="G24" s="88">
        <f t="shared" si="19"/>
        <v>0.18749999999999997</v>
      </c>
      <c r="H24" s="88">
        <f t="shared" si="19"/>
        <v>0.125</v>
      </c>
      <c r="I24" s="88">
        <f t="shared" si="19"/>
        <v>0.125</v>
      </c>
      <c r="J24" s="88">
        <f t="shared" si="19"/>
        <v>6.25E-2</v>
      </c>
      <c r="K24" s="88">
        <f t="shared" si="19"/>
        <v>6.25E-2</v>
      </c>
      <c r="L24" s="88">
        <f t="shared" si="19"/>
        <v>0</v>
      </c>
      <c r="M24" s="88">
        <f t="shared" si="19"/>
        <v>0</v>
      </c>
      <c r="N24" s="88">
        <f t="shared" si="19"/>
        <v>0</v>
      </c>
      <c r="O24" s="88">
        <f t="shared" si="19"/>
        <v>0</v>
      </c>
      <c r="P24" s="88">
        <f t="shared" si="19"/>
        <v>0</v>
      </c>
      <c r="Q24" s="88">
        <f t="shared" si="19"/>
        <v>0</v>
      </c>
      <c r="R24" s="88">
        <f t="shared" si="19"/>
        <v>0</v>
      </c>
      <c r="S24" s="88">
        <f t="shared" si="19"/>
        <v>0</v>
      </c>
      <c r="T24" s="89">
        <f t="shared" si="12"/>
        <v>1</v>
      </c>
    </row>
    <row r="25" spans="1:20" x14ac:dyDescent="0.3">
      <c r="A25" s="76">
        <f t="shared" si="7"/>
        <v>24</v>
      </c>
      <c r="B25" s="85">
        <v>0.2</v>
      </c>
      <c r="C25" s="86">
        <f>B25+C26</f>
        <v>0.45</v>
      </c>
      <c r="D25" s="90">
        <f t="shared" si="2"/>
        <v>0.55000000000000004</v>
      </c>
      <c r="E25" s="88">
        <f t="shared" si="3"/>
        <v>0.27272727272727271</v>
      </c>
      <c r="F25" s="88">
        <f t="shared" ref="F25:S25" si="20">IFERROR(VLOOKUP($A66+(F$11-YEAR(ValDate))*12,PaymentPattern,2,0)/$D25,0)</f>
        <v>0.18181818181818182</v>
      </c>
      <c r="G25" s="91">
        <f t="shared" si="20"/>
        <v>0.13636363636363635</v>
      </c>
      <c r="H25" s="88">
        <f t="shared" si="20"/>
        <v>0.13636363636363635</v>
      </c>
      <c r="I25" s="88">
        <f t="shared" si="20"/>
        <v>9.0909090909090912E-2</v>
      </c>
      <c r="J25" s="88">
        <f t="shared" si="20"/>
        <v>9.0909090909090912E-2</v>
      </c>
      <c r="K25" s="88">
        <f t="shared" si="20"/>
        <v>4.5454545454545456E-2</v>
      </c>
      <c r="L25" s="88">
        <f t="shared" si="20"/>
        <v>4.5454545454545456E-2</v>
      </c>
      <c r="M25" s="88">
        <f t="shared" si="20"/>
        <v>0</v>
      </c>
      <c r="N25" s="88">
        <f t="shared" si="20"/>
        <v>0</v>
      </c>
      <c r="O25" s="88">
        <f t="shared" si="20"/>
        <v>0</v>
      </c>
      <c r="P25" s="88">
        <f t="shared" si="20"/>
        <v>0</v>
      </c>
      <c r="Q25" s="88">
        <f t="shared" si="20"/>
        <v>0</v>
      </c>
      <c r="R25" s="88">
        <f t="shared" si="20"/>
        <v>0</v>
      </c>
      <c r="S25" s="88">
        <f t="shared" si="20"/>
        <v>0</v>
      </c>
      <c r="T25" s="89">
        <f t="shared" si="12"/>
        <v>0.99999999999999989</v>
      </c>
    </row>
    <row r="26" spans="1:20" x14ac:dyDescent="0.3">
      <c r="A26" s="76">
        <f t="shared" si="7"/>
        <v>12</v>
      </c>
      <c r="B26" s="85">
        <v>0.25</v>
      </c>
      <c r="C26" s="86">
        <f>B26</f>
        <v>0.25</v>
      </c>
      <c r="D26" s="90">
        <f t="shared" si="2"/>
        <v>0.75</v>
      </c>
      <c r="E26" s="88">
        <f t="shared" si="3"/>
        <v>0.26666666666666666</v>
      </c>
      <c r="F26" s="88">
        <f t="shared" ref="F26:S26" si="21">IFERROR(VLOOKUP($A67+(F$11-YEAR(ValDate))*12,PaymentPattern,2,0)/$D26,0)</f>
        <v>0.19999999999999998</v>
      </c>
      <c r="G26" s="88">
        <f t="shared" si="21"/>
        <v>0.13333333333333333</v>
      </c>
      <c r="H26" s="88">
        <f t="shared" si="21"/>
        <v>9.9999999999999992E-2</v>
      </c>
      <c r="I26" s="88">
        <f t="shared" si="21"/>
        <v>9.9999999999999992E-2</v>
      </c>
      <c r="J26" s="88">
        <f t="shared" si="21"/>
        <v>6.6666666666666666E-2</v>
      </c>
      <c r="K26" s="88">
        <f t="shared" si="21"/>
        <v>6.6666666666666666E-2</v>
      </c>
      <c r="L26" s="88">
        <f t="shared" si="21"/>
        <v>3.3333333333333333E-2</v>
      </c>
      <c r="M26" s="88">
        <f t="shared" si="21"/>
        <v>3.3333333333333333E-2</v>
      </c>
      <c r="N26" s="88">
        <f t="shared" si="21"/>
        <v>0</v>
      </c>
      <c r="O26" s="88">
        <f t="shared" si="21"/>
        <v>0</v>
      </c>
      <c r="P26" s="88">
        <f t="shared" si="21"/>
        <v>0</v>
      </c>
      <c r="Q26" s="88">
        <f t="shared" si="21"/>
        <v>0</v>
      </c>
      <c r="R26" s="88">
        <f t="shared" si="21"/>
        <v>0</v>
      </c>
      <c r="S26" s="88">
        <f t="shared" si="21"/>
        <v>0</v>
      </c>
      <c r="T26" s="89">
        <f t="shared" si="12"/>
        <v>0.99999999999999989</v>
      </c>
    </row>
    <row r="27" spans="1:20" x14ac:dyDescent="0.3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</row>
    <row r="28" spans="1:20" x14ac:dyDescent="0.3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</row>
    <row r="30" spans="1:20" x14ac:dyDescent="0.3">
      <c r="E30" s="93" t="s">
        <v>235</v>
      </c>
    </row>
    <row r="31" spans="1:20" x14ac:dyDescent="0.3">
      <c r="E31" s="92" t="s">
        <v>236</v>
      </c>
    </row>
    <row r="32" spans="1:20" x14ac:dyDescent="0.3">
      <c r="E32" s="92" t="s">
        <v>237</v>
      </c>
    </row>
    <row r="33" spans="1:20" x14ac:dyDescent="0.3">
      <c r="E33" s="92" t="s">
        <v>238</v>
      </c>
    </row>
    <row r="34" spans="1:20" x14ac:dyDescent="0.3">
      <c r="E34" s="179" t="s">
        <v>239</v>
      </c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</row>
    <row r="35" spans="1:20" x14ac:dyDescent="0.3"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</row>
    <row r="39" spans="1:20" x14ac:dyDescent="0.3">
      <c r="A39" s="47" t="s">
        <v>13</v>
      </c>
    </row>
    <row r="40" spans="1:20" x14ac:dyDescent="0.3">
      <c r="A40" s="92" t="s">
        <v>181</v>
      </c>
    </row>
    <row r="41" spans="1:20" x14ac:dyDescent="0.3">
      <c r="A41" s="92" t="s">
        <v>182</v>
      </c>
    </row>
    <row r="42" spans="1:20" x14ac:dyDescent="0.3">
      <c r="A42" s="92" t="s">
        <v>183</v>
      </c>
    </row>
    <row r="43" spans="1:20" x14ac:dyDescent="0.3">
      <c r="A43" s="92" t="s">
        <v>320</v>
      </c>
    </row>
    <row r="44" spans="1:20" x14ac:dyDescent="0.3">
      <c r="A44" s="92" t="s">
        <v>319</v>
      </c>
    </row>
    <row r="51" spans="1:14" x14ac:dyDescent="0.3">
      <c r="A51" s="73" t="s">
        <v>17</v>
      </c>
      <c r="B51" s="76" t="s">
        <v>9</v>
      </c>
    </row>
    <row r="52" spans="1:14" x14ac:dyDescent="0.3">
      <c r="A52" s="25" t="s">
        <v>3</v>
      </c>
      <c r="B52" s="71" t="s">
        <v>10</v>
      </c>
    </row>
    <row r="53" spans="1:14" x14ac:dyDescent="0.3">
      <c r="A53" s="34">
        <f t="shared" ref="A53:A66" si="22">+A54+12</f>
        <v>180</v>
      </c>
      <c r="B53" s="76">
        <f>YEAR(ValDate)-14</f>
        <v>2008</v>
      </c>
    </row>
    <row r="54" spans="1:14" x14ac:dyDescent="0.3">
      <c r="A54" s="34">
        <f t="shared" si="22"/>
        <v>168</v>
      </c>
      <c r="B54" s="76">
        <f t="shared" ref="B54:B67" si="23">+B53+1</f>
        <v>2009</v>
      </c>
    </row>
    <row r="55" spans="1:14" x14ac:dyDescent="0.3">
      <c r="A55" s="34">
        <f t="shared" si="22"/>
        <v>156</v>
      </c>
      <c r="B55" s="76">
        <f t="shared" si="23"/>
        <v>2010</v>
      </c>
    </row>
    <row r="56" spans="1:14" x14ac:dyDescent="0.3">
      <c r="A56" s="34">
        <f t="shared" si="22"/>
        <v>144</v>
      </c>
      <c r="B56" s="76">
        <f t="shared" si="23"/>
        <v>2011</v>
      </c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</row>
    <row r="57" spans="1:14" x14ac:dyDescent="0.3">
      <c r="A57" s="34">
        <f t="shared" si="22"/>
        <v>132</v>
      </c>
      <c r="B57" s="76">
        <f t="shared" si="23"/>
        <v>2012</v>
      </c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</row>
    <row r="58" spans="1:14" x14ac:dyDescent="0.3">
      <c r="A58" s="34">
        <f t="shared" si="22"/>
        <v>120</v>
      </c>
      <c r="B58" s="76">
        <f t="shared" si="23"/>
        <v>2013</v>
      </c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</row>
    <row r="59" spans="1:14" x14ac:dyDescent="0.3">
      <c r="A59" s="34">
        <f t="shared" si="22"/>
        <v>108</v>
      </c>
      <c r="B59" s="76">
        <f t="shared" si="23"/>
        <v>2014</v>
      </c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</row>
    <row r="60" spans="1:14" x14ac:dyDescent="0.3">
      <c r="A60" s="34">
        <f t="shared" si="22"/>
        <v>96</v>
      </c>
      <c r="B60" s="76">
        <f t="shared" si="23"/>
        <v>2015</v>
      </c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</row>
    <row r="61" spans="1:14" x14ac:dyDescent="0.3">
      <c r="A61" s="34">
        <f t="shared" si="22"/>
        <v>84</v>
      </c>
      <c r="B61" s="76">
        <f t="shared" si="23"/>
        <v>2016</v>
      </c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</row>
    <row r="62" spans="1:14" x14ac:dyDescent="0.3">
      <c r="A62" s="34">
        <f t="shared" si="22"/>
        <v>72</v>
      </c>
      <c r="B62" s="76">
        <f t="shared" si="23"/>
        <v>2017</v>
      </c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</row>
    <row r="63" spans="1:14" x14ac:dyDescent="0.3">
      <c r="A63" s="34">
        <f t="shared" si="22"/>
        <v>60</v>
      </c>
      <c r="B63" s="76">
        <f t="shared" si="23"/>
        <v>2018</v>
      </c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</row>
    <row r="64" spans="1:14" x14ac:dyDescent="0.3">
      <c r="A64" s="34">
        <f t="shared" si="22"/>
        <v>48</v>
      </c>
      <c r="B64" s="76">
        <f t="shared" si="23"/>
        <v>2019</v>
      </c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</row>
    <row r="65" spans="1:14" x14ac:dyDescent="0.3">
      <c r="A65" s="34">
        <f t="shared" si="22"/>
        <v>36</v>
      </c>
      <c r="B65" s="76">
        <f t="shared" si="23"/>
        <v>2020</v>
      </c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</row>
    <row r="66" spans="1:14" x14ac:dyDescent="0.3">
      <c r="A66" s="34">
        <f t="shared" si="22"/>
        <v>24</v>
      </c>
      <c r="B66" s="76">
        <f t="shared" si="23"/>
        <v>2021</v>
      </c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</row>
    <row r="67" spans="1:14" x14ac:dyDescent="0.3">
      <c r="A67" s="34">
        <v>12</v>
      </c>
      <c r="B67" s="76">
        <f t="shared" si="23"/>
        <v>2022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</row>
  </sheetData>
  <sheetProtection sheet="1" objects="1" scenarios="1"/>
  <mergeCells count="1">
    <mergeCell ref="E34:T35"/>
  </mergeCells>
  <printOptions horizontalCentered="1"/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65726-E469-4CD1-9699-2F4C8185A4A3}">
  <dimension ref="A1:AU257"/>
  <sheetViews>
    <sheetView view="pageBreakPreview" zoomScale="85" zoomScaleNormal="100" zoomScaleSheetLayoutView="85" workbookViewId="0">
      <selection activeCell="L25" sqref="L25"/>
    </sheetView>
  </sheetViews>
  <sheetFormatPr defaultColWidth="11.77734375" defaultRowHeight="14.4" x14ac:dyDescent="0.3"/>
  <cols>
    <col min="8" max="8" width="12.21875" customWidth="1"/>
    <col min="9" max="9" width="12.21875" bestFit="1" customWidth="1"/>
    <col min="11" max="11" width="11.77734375" customWidth="1"/>
    <col min="15" max="26" width="10.77734375" customWidth="1"/>
    <col min="29" max="36" width="13.5546875" customWidth="1"/>
  </cols>
  <sheetData>
    <row r="1" spans="1:36" x14ac:dyDescent="0.3">
      <c r="A1" s="2" t="s">
        <v>22</v>
      </c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O1" s="2" t="s">
        <v>23</v>
      </c>
      <c r="P1" s="1"/>
      <c r="Q1" s="1"/>
      <c r="R1" s="1"/>
      <c r="S1" s="1"/>
      <c r="T1" s="1"/>
      <c r="U1" s="1"/>
      <c r="V1" s="1"/>
      <c r="W1" s="1"/>
      <c r="X1" s="1"/>
      <c r="Y1" s="1"/>
      <c r="Z1" s="1"/>
      <c r="AB1" s="2" t="s">
        <v>24</v>
      </c>
      <c r="AC1" s="1"/>
      <c r="AD1" s="1"/>
      <c r="AE1" s="1"/>
      <c r="AF1" s="1"/>
      <c r="AG1" s="1"/>
      <c r="AH1" s="1"/>
      <c r="AI1" s="1"/>
      <c r="AJ1" s="1"/>
    </row>
    <row r="2" spans="1:3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B2" s="1"/>
      <c r="AC2" s="1"/>
      <c r="AD2" s="1"/>
      <c r="AE2" s="1"/>
      <c r="AF2" s="1"/>
      <c r="AG2" s="1"/>
      <c r="AH2" s="1"/>
      <c r="AI2" s="1"/>
      <c r="AJ2" s="1"/>
    </row>
    <row r="3" spans="1:36" x14ac:dyDescent="0.3">
      <c r="A3" s="2" t="str">
        <f>CompanyName</f>
        <v>Company ABC</v>
      </c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O3" s="2" t="str">
        <f>CompanyName</f>
        <v>Company ABC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  <c r="AB3" s="2" t="str">
        <f>CompanyName</f>
        <v>Company ABC</v>
      </c>
      <c r="AC3" s="1"/>
      <c r="AD3" s="1"/>
      <c r="AE3" s="1"/>
      <c r="AF3" s="1"/>
      <c r="AG3" s="1"/>
      <c r="AH3" s="1"/>
      <c r="AI3" s="1"/>
      <c r="AJ3" s="1"/>
    </row>
    <row r="4" spans="1:36" x14ac:dyDescent="0.3">
      <c r="A4" s="1" t="s">
        <v>7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O4" s="1" t="s">
        <v>7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B4" s="1" t="s">
        <v>7</v>
      </c>
      <c r="AC4" s="1"/>
      <c r="AD4" s="1"/>
      <c r="AE4" s="1"/>
      <c r="AF4" s="1"/>
      <c r="AG4" s="1"/>
      <c r="AH4" s="1"/>
      <c r="AI4" s="1"/>
      <c r="AJ4" s="1"/>
    </row>
    <row r="5" spans="1:36" x14ac:dyDescent="0.3">
      <c r="A5" s="1" t="s">
        <v>26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O5" s="1" t="s">
        <v>25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B5" s="1" t="s">
        <v>47</v>
      </c>
      <c r="AC5" s="1"/>
      <c r="AD5" s="1"/>
      <c r="AE5" s="1"/>
      <c r="AF5" s="1"/>
      <c r="AG5" s="1"/>
      <c r="AH5" s="1"/>
      <c r="AI5" s="1"/>
      <c r="AJ5" s="1"/>
    </row>
    <row r="6" spans="1:36" x14ac:dyDescent="0.3">
      <c r="A6" s="1" t="str">
        <f>"As at "&amp;TEXT(ValDate,"mmmm dd, yyyy")</f>
        <v>As at December 31, 2022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O6" s="1" t="str">
        <f>"As at "&amp;TEXT(ValDate,"mmmm dd, yyyy")</f>
        <v>As at December 31, 2022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B6" s="1" t="str">
        <f>"As at "&amp;TEXT(ValDate,"mmmm dd, yyyy")</f>
        <v>As at December 31, 2022</v>
      </c>
      <c r="AC6" s="1"/>
      <c r="AD6" s="1"/>
      <c r="AE6" s="1"/>
      <c r="AF6" s="1"/>
      <c r="AG6" s="1"/>
      <c r="AH6" s="1"/>
      <c r="AI6" s="1"/>
      <c r="AJ6" s="1"/>
    </row>
    <row r="8" spans="1:36" x14ac:dyDescent="0.3">
      <c r="A8" s="5" t="s">
        <v>48</v>
      </c>
      <c r="Q8" s="6" t="s">
        <v>14</v>
      </c>
      <c r="R8" s="6" t="s">
        <v>15</v>
      </c>
      <c r="S8" s="6" t="s">
        <v>16</v>
      </c>
      <c r="T8" s="6" t="s">
        <v>119</v>
      </c>
      <c r="U8" s="6" t="s">
        <v>120</v>
      </c>
      <c r="V8" s="6" t="s">
        <v>121</v>
      </c>
      <c r="W8" s="6" t="s">
        <v>122</v>
      </c>
      <c r="X8" s="6" t="s">
        <v>123</v>
      </c>
      <c r="Y8" s="6" t="s">
        <v>124</v>
      </c>
      <c r="Z8" s="6" t="s">
        <v>129</v>
      </c>
      <c r="AC8" s="6" t="s">
        <v>14</v>
      </c>
      <c r="AD8" s="6" t="s">
        <v>15</v>
      </c>
      <c r="AE8" s="6" t="s">
        <v>16</v>
      </c>
      <c r="AF8" s="6" t="s">
        <v>119</v>
      </c>
      <c r="AG8" s="6" t="s">
        <v>120</v>
      </c>
      <c r="AH8" s="6" t="s">
        <v>121</v>
      </c>
      <c r="AI8" s="6" t="s">
        <v>122</v>
      </c>
      <c r="AJ8" s="6" t="s">
        <v>123</v>
      </c>
    </row>
    <row r="9" spans="1:36" x14ac:dyDescent="0.3">
      <c r="A9" s="5" t="s">
        <v>112</v>
      </c>
      <c r="Q9" s="13" t="s">
        <v>115</v>
      </c>
      <c r="R9" s="13"/>
      <c r="S9" s="22"/>
      <c r="T9" s="22"/>
      <c r="U9" s="13" t="s">
        <v>117</v>
      </c>
      <c r="V9" s="13"/>
      <c r="W9" s="22"/>
      <c r="X9" s="13" t="s">
        <v>118</v>
      </c>
      <c r="Y9" s="13"/>
      <c r="Z9" s="13"/>
      <c r="AC9" s="1" t="s">
        <v>116</v>
      </c>
      <c r="AD9" s="1"/>
      <c r="AE9" s="145"/>
      <c r="AF9" s="1" t="s">
        <v>116</v>
      </c>
      <c r="AG9" s="1"/>
      <c r="AH9" s="1"/>
      <c r="AI9" s="1"/>
    </row>
    <row r="10" spans="1:36" x14ac:dyDescent="0.3">
      <c r="A10" s="5"/>
      <c r="Q10" s="3" t="s">
        <v>62</v>
      </c>
      <c r="R10" s="3"/>
      <c r="S10" s="146" t="s">
        <v>130</v>
      </c>
      <c r="T10" s="147" t="s">
        <v>131</v>
      </c>
      <c r="U10" s="3"/>
      <c r="W10" s="148" t="s">
        <v>28</v>
      </c>
      <c r="X10" s="3"/>
      <c r="Z10" s="3" t="s">
        <v>28</v>
      </c>
      <c r="AC10" s="13" t="s">
        <v>45</v>
      </c>
      <c r="AD10" s="13"/>
      <c r="AE10" s="22"/>
      <c r="AF10" s="13" t="s">
        <v>46</v>
      </c>
      <c r="AG10" s="13"/>
      <c r="AH10" s="13"/>
      <c r="AI10" s="13"/>
    </row>
    <row r="11" spans="1:36" x14ac:dyDescent="0.3">
      <c r="A11" s="5"/>
      <c r="C11" s="13" t="s">
        <v>54</v>
      </c>
      <c r="D11" s="13"/>
      <c r="E11" s="13"/>
      <c r="F11" s="13"/>
      <c r="G11" s="13"/>
      <c r="H11" s="13"/>
      <c r="O11" s="102" t="s">
        <v>2</v>
      </c>
      <c r="P11" s="102" t="s">
        <v>58</v>
      </c>
      <c r="Q11" s="3" t="s">
        <v>63</v>
      </c>
      <c r="R11" s="3" t="s">
        <v>37</v>
      </c>
      <c r="S11" s="3" t="s">
        <v>38</v>
      </c>
      <c r="T11" s="147" t="s">
        <v>38</v>
      </c>
      <c r="U11" s="3"/>
      <c r="W11" s="147" t="s">
        <v>38</v>
      </c>
      <c r="X11" s="3"/>
      <c r="Z11" s="3" t="s">
        <v>38</v>
      </c>
      <c r="AB11" s="3" t="s">
        <v>2</v>
      </c>
      <c r="AC11" s="3" t="s">
        <v>37</v>
      </c>
      <c r="AD11" s="3" t="s">
        <v>38</v>
      </c>
      <c r="AE11" s="147" t="s">
        <v>40</v>
      </c>
      <c r="AF11" s="3" t="s">
        <v>41</v>
      </c>
      <c r="AG11" s="3" t="s">
        <v>42</v>
      </c>
      <c r="AH11" s="3" t="s">
        <v>44</v>
      </c>
      <c r="AI11" s="3" t="s">
        <v>40</v>
      </c>
      <c r="AJ11" s="3" t="s">
        <v>28</v>
      </c>
    </row>
    <row r="12" spans="1:36" x14ac:dyDescent="0.3">
      <c r="A12" s="12"/>
      <c r="B12" s="12"/>
      <c r="C12" s="7" t="s">
        <v>55</v>
      </c>
      <c r="D12" s="7" t="s">
        <v>367</v>
      </c>
      <c r="E12" s="7" t="s">
        <v>34</v>
      </c>
      <c r="F12" s="7" t="s">
        <v>35</v>
      </c>
      <c r="G12" s="7" t="s">
        <v>33</v>
      </c>
      <c r="H12" s="7" t="s">
        <v>56</v>
      </c>
      <c r="I12" s="7" t="s">
        <v>30</v>
      </c>
      <c r="O12" s="24" t="s">
        <v>10</v>
      </c>
      <c r="P12" s="24" t="s">
        <v>59</v>
      </c>
      <c r="Q12" s="7" t="s">
        <v>27</v>
      </c>
      <c r="R12" s="7" t="s">
        <v>27</v>
      </c>
      <c r="S12" s="7" t="s">
        <v>39</v>
      </c>
      <c r="T12" s="149" t="s">
        <v>39</v>
      </c>
      <c r="U12" s="7" t="s">
        <v>64</v>
      </c>
      <c r="V12" s="7" t="s">
        <v>65</v>
      </c>
      <c r="W12" s="149" t="s">
        <v>39</v>
      </c>
      <c r="X12" s="7" t="s">
        <v>64</v>
      </c>
      <c r="Y12" s="7" t="s">
        <v>65</v>
      </c>
      <c r="Z12" s="7" t="s">
        <v>39</v>
      </c>
      <c r="AB12" s="7" t="s">
        <v>36</v>
      </c>
      <c r="AC12" s="7" t="s">
        <v>27</v>
      </c>
      <c r="AD12" s="7" t="s">
        <v>39</v>
      </c>
      <c r="AE12" s="149" t="s">
        <v>27</v>
      </c>
      <c r="AF12" s="7" t="s">
        <v>27</v>
      </c>
      <c r="AG12" s="7" t="s">
        <v>43</v>
      </c>
      <c r="AH12" s="7" t="s">
        <v>43</v>
      </c>
      <c r="AI12" s="7" t="s">
        <v>27</v>
      </c>
      <c r="AJ12" s="7" t="s">
        <v>27</v>
      </c>
    </row>
    <row r="13" spans="1:36" x14ac:dyDescent="0.3">
      <c r="A13" s="150" t="s">
        <v>113</v>
      </c>
      <c r="C13" s="180">
        <v>0</v>
      </c>
      <c r="D13" s="180">
        <v>0</v>
      </c>
      <c r="E13" s="180">
        <v>0.09</v>
      </c>
      <c r="F13" s="180">
        <v>0.28000000000000003</v>
      </c>
      <c r="G13" s="180">
        <v>0.28000000000000003</v>
      </c>
      <c r="H13" s="180">
        <v>0.35</v>
      </c>
      <c r="I13" s="181">
        <f>SUM(C13:H13)</f>
        <v>1</v>
      </c>
      <c r="M13" s="181"/>
      <c r="O13" s="102">
        <f>$A$24</f>
        <v>2023</v>
      </c>
      <c r="P13" s="102">
        <v>0.5</v>
      </c>
      <c r="Q13" s="151">
        <f t="shared" ref="Q13:Q22" si="0">I171</f>
        <v>2.4161051511764533E-2</v>
      </c>
      <c r="R13" s="151">
        <f t="shared" ref="R13:R22" si="1">AC13</f>
        <v>1.78923E-2</v>
      </c>
      <c r="S13" s="151">
        <f>Q13-R13</f>
        <v>6.268751511764533E-3</v>
      </c>
      <c r="T13" s="152">
        <v>6.0000000000000001E-3</v>
      </c>
      <c r="U13" s="182">
        <v>0</v>
      </c>
      <c r="V13" s="31">
        <v>0</v>
      </c>
      <c r="W13" s="183">
        <f>+T13*U13+V13</f>
        <v>0</v>
      </c>
      <c r="X13" s="182">
        <v>1</v>
      </c>
      <c r="Y13" s="31">
        <v>0</v>
      </c>
      <c r="Z13" s="31">
        <f>+T13*X13+Y13</f>
        <v>6.0000000000000001E-3</v>
      </c>
      <c r="AB13" s="153">
        <f>DATE(YEAR(ValDate)+1,6,30)</f>
        <v>45107</v>
      </c>
      <c r="AC13" s="26">
        <v>1.78923E-2</v>
      </c>
      <c r="AD13" s="31">
        <f t="shared" ref="AD13:AD22" si="2">Z13</f>
        <v>6.0000000000000001E-3</v>
      </c>
      <c r="AE13" s="183">
        <f>AC13+AD13</f>
        <v>2.3892299999999998E-2</v>
      </c>
      <c r="AF13" s="31">
        <f t="shared" ref="AF13:AF22" si="3">I24</f>
        <v>2.694676494598389E-2</v>
      </c>
      <c r="AG13" s="31">
        <f t="shared" ref="AG13:AG22" si="4">I235/10000</f>
        <v>2.7857134342193571E-3</v>
      </c>
      <c r="AH13" s="31">
        <v>0</v>
      </c>
      <c r="AI13" s="183">
        <f>AF13-AG13-AH13</f>
        <v>2.4161051511764533E-2</v>
      </c>
      <c r="AJ13" s="26">
        <f>AE13</f>
        <v>2.3892299999999998E-2</v>
      </c>
    </row>
    <row r="14" spans="1:36" x14ac:dyDescent="0.3">
      <c r="O14" s="102">
        <f>+O13+1</f>
        <v>2024</v>
      </c>
      <c r="P14" s="102">
        <f>+P13+1</f>
        <v>1.5</v>
      </c>
      <c r="Q14" s="151">
        <f t="shared" si="0"/>
        <v>2.5131671547889711E-2</v>
      </c>
      <c r="R14" s="151">
        <f t="shared" si="1"/>
        <v>1.8412000000000001E-2</v>
      </c>
      <c r="S14" s="151">
        <f t="shared" ref="S14:S22" si="5">Q14-R14</f>
        <v>6.7196715478897093E-3</v>
      </c>
      <c r="T14" s="152">
        <v>6.4999999999999997E-3</v>
      </c>
      <c r="U14" s="182">
        <v>0</v>
      </c>
      <c r="V14" s="31">
        <v>0</v>
      </c>
      <c r="W14" s="183">
        <f t="shared" ref="W14:W22" si="6">+T14*U14+V14</f>
        <v>0</v>
      </c>
      <c r="X14" s="182">
        <v>1</v>
      </c>
      <c r="Y14" s="31">
        <v>0</v>
      </c>
      <c r="Z14" s="31">
        <f t="shared" ref="Z14:Z22" si="7">+T14*X14+Y14</f>
        <v>6.4999999999999997E-3</v>
      </c>
      <c r="AB14" s="154">
        <f>DATE(YEAR(AB13)+1,6,30)</f>
        <v>45473</v>
      </c>
      <c r="AC14" s="26">
        <v>1.8412000000000001E-2</v>
      </c>
      <c r="AD14" s="31">
        <f t="shared" si="2"/>
        <v>6.4999999999999997E-3</v>
      </c>
      <c r="AE14" s="183">
        <f t="shared" ref="AE14:AE22" si="8">AC14+AD14</f>
        <v>2.4912E-2</v>
      </c>
      <c r="AF14" s="31">
        <f t="shared" si="3"/>
        <v>2.7810757458209996E-2</v>
      </c>
      <c r="AG14" s="31">
        <f t="shared" si="4"/>
        <v>2.6790859103202856E-3</v>
      </c>
      <c r="AH14" s="31">
        <v>0</v>
      </c>
      <c r="AI14" s="183">
        <f t="shared" ref="AI14:AI22" si="9">AF14-AG14-AH14</f>
        <v>2.5131671547889711E-2</v>
      </c>
      <c r="AJ14" s="26">
        <f t="shared" ref="AJ14:AJ22" si="10">AE14</f>
        <v>2.4912E-2</v>
      </c>
    </row>
    <row r="15" spans="1:36" x14ac:dyDescent="0.3">
      <c r="A15" s="5" t="s">
        <v>13</v>
      </c>
      <c r="O15" s="102">
        <f t="shared" ref="O15:P22" si="11">+O14+1</f>
        <v>2025</v>
      </c>
      <c r="P15" s="102">
        <f t="shared" si="11"/>
        <v>2.5</v>
      </c>
      <c r="Q15" s="151">
        <f t="shared" si="0"/>
        <v>2.6314012706279755E-2</v>
      </c>
      <c r="R15" s="151">
        <f t="shared" si="1"/>
        <v>1.85915E-2</v>
      </c>
      <c r="S15" s="151">
        <f t="shared" si="5"/>
        <v>7.7225127062797543E-3</v>
      </c>
      <c r="T15" s="152">
        <v>7.4999999999999997E-3</v>
      </c>
      <c r="U15" s="182">
        <v>0</v>
      </c>
      <c r="V15" s="31">
        <v>0</v>
      </c>
      <c r="W15" s="183">
        <f t="shared" si="6"/>
        <v>0</v>
      </c>
      <c r="X15" s="182">
        <v>1</v>
      </c>
      <c r="Y15" s="31">
        <v>0</v>
      </c>
      <c r="Z15" s="31">
        <f t="shared" si="7"/>
        <v>7.4999999999999997E-3</v>
      </c>
      <c r="AB15" s="154">
        <f t="shared" ref="AB15:AB22" si="12">DATE(YEAR(AB14)+1,6,30)</f>
        <v>45838</v>
      </c>
      <c r="AC15" s="26">
        <v>1.85915E-2</v>
      </c>
      <c r="AD15" s="31">
        <f t="shared" si="2"/>
        <v>7.4999999999999997E-3</v>
      </c>
      <c r="AE15" s="183">
        <f t="shared" si="8"/>
        <v>2.60915E-2</v>
      </c>
      <c r="AF15" s="31">
        <f t="shared" si="3"/>
        <v>2.8994063019752506E-2</v>
      </c>
      <c r="AG15" s="31">
        <f t="shared" si="4"/>
        <v>2.680050313472751E-3</v>
      </c>
      <c r="AH15" s="31">
        <v>0</v>
      </c>
      <c r="AI15" s="183">
        <f t="shared" si="9"/>
        <v>2.6314012706279755E-2</v>
      </c>
      <c r="AJ15" s="26">
        <f t="shared" si="10"/>
        <v>2.60915E-2</v>
      </c>
    </row>
    <row r="16" spans="1:36" x14ac:dyDescent="0.3">
      <c r="A16" t="s">
        <v>368</v>
      </c>
      <c r="O16" s="102">
        <f t="shared" si="11"/>
        <v>2026</v>
      </c>
      <c r="P16" s="102">
        <f t="shared" si="11"/>
        <v>3.5</v>
      </c>
      <c r="Q16" s="151">
        <f t="shared" si="0"/>
        <v>2.7810089111328123E-2</v>
      </c>
      <c r="R16" s="151">
        <f t="shared" si="1"/>
        <v>1.8719599999999999E-2</v>
      </c>
      <c r="S16" s="151">
        <f t="shared" si="5"/>
        <v>9.090489111328124E-3</v>
      </c>
      <c r="T16" s="152">
        <v>8.9999999999999993E-3</v>
      </c>
      <c r="U16" s="182">
        <v>0</v>
      </c>
      <c r="V16" s="31">
        <v>0</v>
      </c>
      <c r="W16" s="183">
        <f t="shared" si="6"/>
        <v>0</v>
      </c>
      <c r="X16" s="182">
        <v>1</v>
      </c>
      <c r="Y16" s="31">
        <v>0</v>
      </c>
      <c r="Z16" s="31">
        <f t="shared" si="7"/>
        <v>8.9999999999999993E-3</v>
      </c>
      <c r="AB16" s="154">
        <f t="shared" si="12"/>
        <v>46203</v>
      </c>
      <c r="AC16" s="26">
        <v>1.8719599999999999E-2</v>
      </c>
      <c r="AD16" s="31">
        <f t="shared" si="2"/>
        <v>8.9999999999999993E-3</v>
      </c>
      <c r="AE16" s="183">
        <f t="shared" si="8"/>
        <v>2.7719599999999997E-2</v>
      </c>
      <c r="AF16" s="31">
        <f t="shared" si="3"/>
        <v>3.0813820362091068E-2</v>
      </c>
      <c r="AG16" s="31">
        <f t="shared" si="4"/>
        <v>3.0037312507629442E-3</v>
      </c>
      <c r="AH16" s="31">
        <v>0</v>
      </c>
      <c r="AI16" s="183">
        <f t="shared" si="9"/>
        <v>2.7810089111328123E-2</v>
      </c>
      <c r="AJ16" s="26">
        <f t="shared" si="10"/>
        <v>2.7719599999999997E-2</v>
      </c>
    </row>
    <row r="17" spans="1:36" x14ac:dyDescent="0.3">
      <c r="O17" s="102">
        <f t="shared" si="11"/>
        <v>2027</v>
      </c>
      <c r="P17" s="102">
        <f t="shared" si="11"/>
        <v>4.5</v>
      </c>
      <c r="Q17" s="151">
        <f t="shared" si="0"/>
        <v>2.8405218183994295E-2</v>
      </c>
      <c r="R17" s="151">
        <f t="shared" si="1"/>
        <v>1.88387E-2</v>
      </c>
      <c r="S17" s="151">
        <f t="shared" si="5"/>
        <v>9.566518183994295E-3</v>
      </c>
      <c r="T17" s="152">
        <v>9.4999999999999998E-3</v>
      </c>
      <c r="U17" s="182">
        <v>0</v>
      </c>
      <c r="V17" s="31">
        <v>0</v>
      </c>
      <c r="W17" s="183">
        <f t="shared" si="6"/>
        <v>0</v>
      </c>
      <c r="X17" s="182">
        <v>1</v>
      </c>
      <c r="Y17" s="31">
        <v>0</v>
      </c>
      <c r="Z17" s="31">
        <f t="shared" si="7"/>
        <v>9.4999999999999998E-3</v>
      </c>
      <c r="AB17" s="154">
        <f t="shared" si="12"/>
        <v>46568</v>
      </c>
      <c r="AC17" s="26">
        <v>1.88387E-2</v>
      </c>
      <c r="AD17" s="31">
        <f t="shared" si="2"/>
        <v>9.4999999999999998E-3</v>
      </c>
      <c r="AE17" s="183">
        <f t="shared" si="8"/>
        <v>2.8338700000000001E-2</v>
      </c>
      <c r="AF17" s="31">
        <f t="shared" si="3"/>
        <v>3.1844093561172487E-2</v>
      </c>
      <c r="AG17" s="31">
        <f t="shared" si="4"/>
        <v>3.438875377178192E-3</v>
      </c>
      <c r="AH17" s="31">
        <v>0</v>
      </c>
      <c r="AI17" s="183">
        <f t="shared" si="9"/>
        <v>2.8405218183994295E-2</v>
      </c>
      <c r="AJ17" s="26">
        <f t="shared" si="10"/>
        <v>2.8338700000000001E-2</v>
      </c>
    </row>
    <row r="18" spans="1:36" x14ac:dyDescent="0.3">
      <c r="O18" s="102">
        <f t="shared" si="11"/>
        <v>2028</v>
      </c>
      <c r="P18" s="102">
        <f t="shared" si="11"/>
        <v>5.5</v>
      </c>
      <c r="Q18" s="151">
        <f t="shared" si="0"/>
        <v>2.8901972055435179E-2</v>
      </c>
      <c r="R18" s="151">
        <f t="shared" si="1"/>
        <v>1.8962799999999998E-2</v>
      </c>
      <c r="S18" s="151">
        <f t="shared" si="5"/>
        <v>9.9391720554351803E-3</v>
      </c>
      <c r="T18" s="152">
        <v>0.01</v>
      </c>
      <c r="U18" s="182">
        <v>0</v>
      </c>
      <c r="V18" s="31">
        <v>0</v>
      </c>
      <c r="W18" s="183">
        <f t="shared" si="6"/>
        <v>0</v>
      </c>
      <c r="X18" s="182">
        <v>1</v>
      </c>
      <c r="Y18" s="31">
        <v>0</v>
      </c>
      <c r="Z18" s="31">
        <f t="shared" si="7"/>
        <v>0.01</v>
      </c>
      <c r="AB18" s="154">
        <f t="shared" si="12"/>
        <v>46934</v>
      </c>
      <c r="AC18" s="26">
        <v>1.8962799999999998E-2</v>
      </c>
      <c r="AD18" s="31">
        <f t="shared" si="2"/>
        <v>0.01</v>
      </c>
      <c r="AE18" s="183">
        <f t="shared" si="8"/>
        <v>2.8962799999999997E-2</v>
      </c>
      <c r="AF18" s="31">
        <f t="shared" si="3"/>
        <v>3.2232293248176572E-2</v>
      </c>
      <c r="AG18" s="31">
        <f t="shared" si="4"/>
        <v>3.3303211927413925E-3</v>
      </c>
      <c r="AH18" s="31">
        <v>0</v>
      </c>
      <c r="AI18" s="183">
        <f t="shared" si="9"/>
        <v>2.8901972055435179E-2</v>
      </c>
      <c r="AJ18" s="26">
        <f t="shared" si="10"/>
        <v>2.8962799999999997E-2</v>
      </c>
    </row>
    <row r="19" spans="1:36" x14ac:dyDescent="0.3">
      <c r="A19" s="5" t="s">
        <v>49</v>
      </c>
      <c r="O19" s="102">
        <f t="shared" si="11"/>
        <v>2029</v>
      </c>
      <c r="P19" s="102">
        <f t="shared" si="11"/>
        <v>6.5</v>
      </c>
      <c r="Q19" s="151">
        <f t="shared" si="0"/>
        <v>2.9934754610061651E-2</v>
      </c>
      <c r="R19" s="151">
        <f t="shared" si="1"/>
        <v>1.9102399999999999E-2</v>
      </c>
      <c r="S19" s="151">
        <f t="shared" si="5"/>
        <v>1.0832354610061653E-2</v>
      </c>
      <c r="T19" s="152">
        <v>1.0500000000000001E-2</v>
      </c>
      <c r="U19" s="182">
        <v>0</v>
      </c>
      <c r="V19" s="31">
        <v>0</v>
      </c>
      <c r="W19" s="183">
        <f t="shared" si="6"/>
        <v>0</v>
      </c>
      <c r="X19" s="182">
        <v>1</v>
      </c>
      <c r="Y19" s="31">
        <v>0</v>
      </c>
      <c r="Z19" s="31">
        <f t="shared" si="7"/>
        <v>1.0500000000000001E-2</v>
      </c>
      <c r="AB19" s="154">
        <f t="shared" si="12"/>
        <v>47299</v>
      </c>
      <c r="AC19" s="26">
        <v>1.9102399999999999E-2</v>
      </c>
      <c r="AD19" s="31">
        <f t="shared" si="2"/>
        <v>1.0500000000000001E-2</v>
      </c>
      <c r="AE19" s="183">
        <f t="shared" si="8"/>
        <v>2.9602400000000001E-2</v>
      </c>
      <c r="AF19" s="31">
        <f t="shared" si="3"/>
        <v>3.3469676792621618E-2</v>
      </c>
      <c r="AG19" s="31">
        <f t="shared" si="4"/>
        <v>3.5349221825599665E-3</v>
      </c>
      <c r="AH19" s="31">
        <v>0</v>
      </c>
      <c r="AI19" s="183">
        <f t="shared" si="9"/>
        <v>2.9934754610061651E-2</v>
      </c>
      <c r="AJ19" s="26">
        <f t="shared" si="10"/>
        <v>2.9602400000000001E-2</v>
      </c>
    </row>
    <row r="20" spans="1:36" x14ac:dyDescent="0.3">
      <c r="A20" s="5" t="s">
        <v>60</v>
      </c>
      <c r="O20" s="102">
        <f t="shared" si="11"/>
        <v>2030</v>
      </c>
      <c r="P20" s="102">
        <f t="shared" si="11"/>
        <v>7.5</v>
      </c>
      <c r="Q20" s="151">
        <f t="shared" si="0"/>
        <v>3.0227791607379914E-2</v>
      </c>
      <c r="R20" s="151">
        <f t="shared" si="1"/>
        <v>1.9265299999999999E-2</v>
      </c>
      <c r="S20" s="151">
        <f t="shared" si="5"/>
        <v>1.0962491607379915E-2</v>
      </c>
      <c r="T20" s="152">
        <v>1.0999999999999999E-2</v>
      </c>
      <c r="U20" s="182">
        <v>0</v>
      </c>
      <c r="V20" s="31">
        <v>0</v>
      </c>
      <c r="W20" s="183">
        <f t="shared" si="6"/>
        <v>0</v>
      </c>
      <c r="X20" s="182">
        <v>1</v>
      </c>
      <c r="Y20" s="31">
        <v>0</v>
      </c>
      <c r="Z20" s="31">
        <f t="shared" si="7"/>
        <v>1.0999999999999999E-2</v>
      </c>
      <c r="AB20" s="154">
        <f t="shared" si="12"/>
        <v>47664</v>
      </c>
      <c r="AC20" s="26">
        <v>1.9265299999999999E-2</v>
      </c>
      <c r="AD20" s="31">
        <f t="shared" si="2"/>
        <v>1.0999999999999999E-2</v>
      </c>
      <c r="AE20" s="183">
        <f t="shared" si="8"/>
        <v>3.0265299999999998E-2</v>
      </c>
      <c r="AF20" s="31">
        <f t="shared" si="3"/>
        <v>3.3742631673812876E-2</v>
      </c>
      <c r="AG20" s="31">
        <f t="shared" si="4"/>
        <v>3.5148400664329615E-3</v>
      </c>
      <c r="AH20" s="31">
        <v>0</v>
      </c>
      <c r="AI20" s="183">
        <f t="shared" si="9"/>
        <v>3.0227791607379914E-2</v>
      </c>
      <c r="AJ20" s="26">
        <f t="shared" si="10"/>
        <v>3.0265299999999998E-2</v>
      </c>
    </row>
    <row r="21" spans="1:36" x14ac:dyDescent="0.3">
      <c r="I21" s="3" t="s">
        <v>175</v>
      </c>
      <c r="O21" s="102">
        <f t="shared" si="11"/>
        <v>2031</v>
      </c>
      <c r="P21" s="102">
        <f t="shared" si="11"/>
        <v>8.5</v>
      </c>
      <c r="Q21" s="151">
        <f t="shared" si="0"/>
        <v>3.1234668254852296E-2</v>
      </c>
      <c r="R21" s="151">
        <f t="shared" si="1"/>
        <v>1.9456000000000001E-2</v>
      </c>
      <c r="S21" s="151">
        <f t="shared" si="5"/>
        <v>1.1778668254852295E-2</v>
      </c>
      <c r="T21" s="152">
        <v>1.15E-2</v>
      </c>
      <c r="U21" s="182">
        <v>0</v>
      </c>
      <c r="V21" s="31">
        <v>0</v>
      </c>
      <c r="W21" s="183">
        <f t="shared" si="6"/>
        <v>0</v>
      </c>
      <c r="X21" s="182">
        <v>1</v>
      </c>
      <c r="Y21" s="31">
        <v>0</v>
      </c>
      <c r="Z21" s="31">
        <f t="shared" si="7"/>
        <v>1.15E-2</v>
      </c>
      <c r="AB21" s="154">
        <f t="shared" si="12"/>
        <v>48029</v>
      </c>
      <c r="AC21" s="26">
        <v>1.9456000000000001E-2</v>
      </c>
      <c r="AD21" s="31">
        <f t="shared" si="2"/>
        <v>1.15E-2</v>
      </c>
      <c r="AE21" s="183">
        <f t="shared" si="8"/>
        <v>3.0956000000000001E-2</v>
      </c>
      <c r="AF21" s="31">
        <f t="shared" si="3"/>
        <v>3.4853273391723644E-2</v>
      </c>
      <c r="AG21" s="31">
        <f t="shared" si="4"/>
        <v>3.618605136871348E-3</v>
      </c>
      <c r="AH21" s="31">
        <v>0</v>
      </c>
      <c r="AI21" s="183">
        <f t="shared" si="9"/>
        <v>3.1234668254852296E-2</v>
      </c>
      <c r="AJ21" s="26">
        <f t="shared" si="10"/>
        <v>3.0956000000000001E-2</v>
      </c>
    </row>
    <row r="22" spans="1:36" x14ac:dyDescent="0.3">
      <c r="A22" s="102" t="s">
        <v>2</v>
      </c>
      <c r="B22" s="102" t="s">
        <v>58</v>
      </c>
      <c r="C22" s="13" t="s">
        <v>54</v>
      </c>
      <c r="D22" s="13"/>
      <c r="E22" s="13"/>
      <c r="F22" s="13"/>
      <c r="G22" s="13"/>
      <c r="H22" s="13"/>
      <c r="I22" s="3" t="s">
        <v>114</v>
      </c>
      <c r="O22" s="102">
        <f t="shared" si="11"/>
        <v>2032</v>
      </c>
      <c r="P22" s="102">
        <f t="shared" si="11"/>
        <v>9.5</v>
      </c>
      <c r="Q22" s="151">
        <f t="shared" si="0"/>
        <v>3.1725493550300604E-2</v>
      </c>
      <c r="R22" s="151">
        <f t="shared" si="1"/>
        <v>1.9675100000000001E-2</v>
      </c>
      <c r="S22" s="151">
        <f t="shared" si="5"/>
        <v>1.2050393550300603E-2</v>
      </c>
      <c r="T22" s="152">
        <v>1.2E-2</v>
      </c>
      <c r="U22" s="182">
        <v>0</v>
      </c>
      <c r="V22" s="31">
        <v>0</v>
      </c>
      <c r="W22" s="183">
        <f t="shared" si="6"/>
        <v>0</v>
      </c>
      <c r="X22" s="182">
        <v>1</v>
      </c>
      <c r="Y22" s="31">
        <v>0</v>
      </c>
      <c r="Z22" s="31">
        <f t="shared" si="7"/>
        <v>1.2E-2</v>
      </c>
      <c r="AB22" s="154">
        <f t="shared" si="12"/>
        <v>48395</v>
      </c>
      <c r="AC22" s="26">
        <v>1.9675100000000001E-2</v>
      </c>
      <c r="AD22" s="31">
        <f t="shared" si="2"/>
        <v>1.2E-2</v>
      </c>
      <c r="AE22" s="183">
        <f t="shared" si="8"/>
        <v>3.1675099999999998E-2</v>
      </c>
      <c r="AF22" s="31">
        <f t="shared" si="3"/>
        <v>3.5568096756935119E-2</v>
      </c>
      <c r="AG22" s="31">
        <f t="shared" si="4"/>
        <v>3.842603206634515E-3</v>
      </c>
      <c r="AH22" s="31">
        <v>0</v>
      </c>
      <c r="AI22" s="183">
        <f t="shared" si="9"/>
        <v>3.1725493550300604E-2</v>
      </c>
      <c r="AJ22" s="26">
        <f t="shared" si="10"/>
        <v>3.1675099999999998E-2</v>
      </c>
    </row>
    <row r="23" spans="1:36" x14ac:dyDescent="0.3">
      <c r="A23" s="24" t="s">
        <v>10</v>
      </c>
      <c r="B23" s="24" t="s">
        <v>59</v>
      </c>
      <c r="C23" s="7" t="s">
        <v>55</v>
      </c>
      <c r="D23" s="7" t="s">
        <v>367</v>
      </c>
      <c r="E23" s="7" t="s">
        <v>34</v>
      </c>
      <c r="F23" s="7" t="s">
        <v>35</v>
      </c>
      <c r="G23" s="7" t="s">
        <v>33</v>
      </c>
      <c r="H23" s="7" t="s">
        <v>56</v>
      </c>
      <c r="I23" s="7" t="s">
        <v>41</v>
      </c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B23" s="8"/>
      <c r="AC23" s="8"/>
      <c r="AD23" s="8"/>
      <c r="AE23" s="8"/>
      <c r="AF23" s="8"/>
      <c r="AG23" s="8"/>
      <c r="AH23" s="8"/>
      <c r="AI23" s="8"/>
      <c r="AJ23" s="8"/>
    </row>
    <row r="24" spans="1:36" x14ac:dyDescent="0.3">
      <c r="A24" s="102">
        <f>YEAR(ValDate)+1</f>
        <v>2023</v>
      </c>
      <c r="B24" s="102">
        <v>0.5</v>
      </c>
      <c r="C24" s="26">
        <v>1.78923E-2</v>
      </c>
      <c r="D24" s="26">
        <v>1.9684526324272155E-2</v>
      </c>
      <c r="E24" s="26">
        <v>2.277311384677887E-2</v>
      </c>
      <c r="F24" s="26">
        <v>2.2450587153434759E-2</v>
      </c>
      <c r="G24" s="26">
        <v>3.0870154500007626E-2</v>
      </c>
      <c r="H24" s="26">
        <v>2.8478220105171207E-2</v>
      </c>
      <c r="I24" s="27">
        <f t="shared" ref="I24:I33" si="13">SUMPRODUCT($C$13:$H$13,C24:H24)</f>
        <v>2.694676494598389E-2</v>
      </c>
    </row>
    <row r="25" spans="1:36" x14ac:dyDescent="0.3">
      <c r="A25" s="102">
        <f>+A24+1</f>
        <v>2024</v>
      </c>
      <c r="B25" s="102">
        <f>+B24+1</f>
        <v>1.5</v>
      </c>
      <c r="C25" s="26">
        <v>1.8510928750038153E-2</v>
      </c>
      <c r="D25" s="26">
        <v>2.068577110767365E-2</v>
      </c>
      <c r="E25" s="26">
        <v>2.2844144701957707E-2</v>
      </c>
      <c r="F25" s="26">
        <v>2.4880537390708928E-2</v>
      </c>
      <c r="G25" s="26">
        <v>2.8155633807182317E-2</v>
      </c>
      <c r="H25" s="26">
        <v>3.1156161427497862E-2</v>
      </c>
      <c r="I25" s="27">
        <f t="shared" si="13"/>
        <v>2.7810757458209996E-2</v>
      </c>
    </row>
    <row r="26" spans="1:36" x14ac:dyDescent="0.3">
      <c r="A26" s="102">
        <f t="shared" ref="A26:B33" si="14">+A25+1</f>
        <v>2025</v>
      </c>
      <c r="B26" s="102">
        <f t="shared" si="14"/>
        <v>2.5</v>
      </c>
      <c r="C26" s="26">
        <v>1.887854635715485E-2</v>
      </c>
      <c r="D26" s="26">
        <v>2.2073361277580264E-2</v>
      </c>
      <c r="E26" s="26">
        <v>2.2823175787925719E-2</v>
      </c>
      <c r="F26" s="26">
        <v>2.6128610968589785E-2</v>
      </c>
      <c r="G26" s="26">
        <v>2.9576209187507623E-2</v>
      </c>
      <c r="H26" s="26">
        <v>3.2407507300376892E-2</v>
      </c>
      <c r="I26" s="27">
        <f t="shared" si="13"/>
        <v>2.8994063019752506E-2</v>
      </c>
      <c r="O26" s="5" t="s">
        <v>13</v>
      </c>
      <c r="AB26" s="5" t="s">
        <v>13</v>
      </c>
    </row>
    <row r="27" spans="1:36" x14ac:dyDescent="0.3">
      <c r="A27" s="102">
        <f t="shared" si="14"/>
        <v>2026</v>
      </c>
      <c r="B27" s="102">
        <f t="shared" si="14"/>
        <v>3.5</v>
      </c>
      <c r="C27" s="26">
        <v>1.9069817662239075E-2</v>
      </c>
      <c r="D27" s="26">
        <v>2.3501607775688171E-2</v>
      </c>
      <c r="E27" s="26">
        <v>2.3600909113883971E-2</v>
      </c>
      <c r="F27" s="26">
        <v>2.7905032038688663E-2</v>
      </c>
      <c r="G27" s="26">
        <v>3.050621449947357E-2</v>
      </c>
      <c r="H27" s="26">
        <v>3.5241684317588812E-2</v>
      </c>
      <c r="I27" s="27">
        <f t="shared" si="13"/>
        <v>3.0813820362091068E-2</v>
      </c>
      <c r="O27" s="38" t="s">
        <v>321</v>
      </c>
      <c r="AB27" s="38" t="s">
        <v>199</v>
      </c>
    </row>
    <row r="28" spans="1:36" x14ac:dyDescent="0.3">
      <c r="A28" s="102">
        <f t="shared" si="14"/>
        <v>2027</v>
      </c>
      <c r="B28" s="102">
        <f t="shared" si="14"/>
        <v>4.5</v>
      </c>
      <c r="C28" s="26">
        <v>1.9336262345314031E-2</v>
      </c>
      <c r="D28" s="26">
        <v>2.4338695406913757E-2</v>
      </c>
      <c r="E28" s="26">
        <v>2.5259456038475039E-2</v>
      </c>
      <c r="F28" s="26">
        <v>2.9211685061454769E-2</v>
      </c>
      <c r="G28" s="26">
        <v>3.1130591034889223E-2</v>
      </c>
      <c r="H28" s="26">
        <v>3.6214014887809759E-2</v>
      </c>
      <c r="I28" s="27">
        <f t="shared" si="13"/>
        <v>3.1844093561172487E-2</v>
      </c>
      <c r="O28" s="38" t="s">
        <v>190</v>
      </c>
      <c r="AB28" s="38" t="s">
        <v>322</v>
      </c>
    </row>
    <row r="29" spans="1:36" x14ac:dyDescent="0.3">
      <c r="A29" s="102">
        <f t="shared" si="14"/>
        <v>2028</v>
      </c>
      <c r="B29" s="102">
        <f t="shared" si="14"/>
        <v>5.5</v>
      </c>
      <c r="C29" s="26">
        <v>1.9130775332450872E-2</v>
      </c>
      <c r="D29" s="26">
        <v>2.5446704030036921E-2</v>
      </c>
      <c r="E29" s="26">
        <v>2.6704743504524231E-2</v>
      </c>
      <c r="F29" s="26">
        <v>2.8543367981910706E-2</v>
      </c>
      <c r="G29" s="26">
        <v>3.1235900521278379E-2</v>
      </c>
      <c r="H29" s="26">
        <v>3.7401917576789859E-2</v>
      </c>
      <c r="I29" s="27">
        <f t="shared" si="13"/>
        <v>3.2232293248176572E-2</v>
      </c>
      <c r="O29" s="38" t="s">
        <v>191</v>
      </c>
      <c r="AB29" s="38" t="s">
        <v>200</v>
      </c>
    </row>
    <row r="30" spans="1:36" x14ac:dyDescent="0.3">
      <c r="A30" s="102">
        <f t="shared" si="14"/>
        <v>2029</v>
      </c>
      <c r="B30" s="102">
        <f t="shared" si="14"/>
        <v>6.5</v>
      </c>
      <c r="C30" s="26">
        <v>1.9396647810935978E-2</v>
      </c>
      <c r="D30" s="26">
        <v>2.6531580090522765E-2</v>
      </c>
      <c r="E30" s="26">
        <v>2.6204648613929755E-2</v>
      </c>
      <c r="F30" s="26">
        <v>2.8980484604835512E-2</v>
      </c>
      <c r="G30" s="26">
        <v>3.4128764271736153E-2</v>
      </c>
      <c r="H30" s="26">
        <v>3.840191066265107E-2</v>
      </c>
      <c r="I30" s="27">
        <f t="shared" si="13"/>
        <v>3.3469676792621618E-2</v>
      </c>
      <c r="O30" s="38" t="s">
        <v>192</v>
      </c>
      <c r="AB30" s="38" t="s">
        <v>323</v>
      </c>
    </row>
    <row r="31" spans="1:36" x14ac:dyDescent="0.3">
      <c r="A31" s="102">
        <f t="shared" si="14"/>
        <v>2030</v>
      </c>
      <c r="B31" s="102">
        <f t="shared" si="14"/>
        <v>7.5</v>
      </c>
      <c r="C31" s="26">
        <v>1.9353601336479193E-2</v>
      </c>
      <c r="D31" s="26">
        <v>2.7337244153022761E-2</v>
      </c>
      <c r="E31" s="26">
        <v>2.8334626555442811E-2</v>
      </c>
      <c r="F31" s="26">
        <v>2.9428628087043759E-2</v>
      </c>
      <c r="G31" s="26">
        <v>3.3538094162940998E-2</v>
      </c>
      <c r="H31" s="26">
        <v>3.8748094439506539E-2</v>
      </c>
      <c r="I31" s="27">
        <f t="shared" si="13"/>
        <v>3.3742631673812876E-2</v>
      </c>
      <c r="O31" s="38" t="s">
        <v>193</v>
      </c>
      <c r="AB31" s="38" t="s">
        <v>324</v>
      </c>
    </row>
    <row r="32" spans="1:36" x14ac:dyDescent="0.3">
      <c r="A32" s="102">
        <f t="shared" si="14"/>
        <v>2031</v>
      </c>
      <c r="B32" s="102">
        <f t="shared" si="14"/>
        <v>8.5</v>
      </c>
      <c r="C32" s="26">
        <v>1.9838258624076854E-2</v>
      </c>
      <c r="D32" s="26">
        <v>2.8054013848304752E-2</v>
      </c>
      <c r="E32" s="26">
        <v>2.8504088521003727E-2</v>
      </c>
      <c r="F32" s="72">
        <v>3.0212971568107604E-2</v>
      </c>
      <c r="G32" s="72">
        <v>3.3848473429679879E-2</v>
      </c>
      <c r="H32" s="26">
        <v>4.1002002358436596E-2</v>
      </c>
      <c r="I32" s="27">
        <f t="shared" si="13"/>
        <v>3.4853273391723644E-2</v>
      </c>
      <c r="O32" s="38" t="s">
        <v>194</v>
      </c>
      <c r="AB32" s="38" t="s">
        <v>201</v>
      </c>
    </row>
    <row r="33" spans="1:28" x14ac:dyDescent="0.3">
      <c r="A33" s="102">
        <f t="shared" si="14"/>
        <v>2032</v>
      </c>
      <c r="B33" s="102">
        <f t="shared" si="14"/>
        <v>9.5</v>
      </c>
      <c r="C33" s="26">
        <v>2.0092156529426579E-2</v>
      </c>
      <c r="D33" s="26">
        <v>2.8248932957649228E-2</v>
      </c>
      <c r="E33" s="184">
        <v>2.8736349940299992E-2</v>
      </c>
      <c r="F33" s="26">
        <v>3.0633071064949034E-2</v>
      </c>
      <c r="G33" s="26">
        <v>3.5024145245552057E-2</v>
      </c>
      <c r="H33" s="26">
        <v>4.1708013415336614E-2</v>
      </c>
      <c r="I33" s="27">
        <f t="shared" si="13"/>
        <v>3.5568096756935119E-2</v>
      </c>
      <c r="O33" s="38" t="s">
        <v>195</v>
      </c>
      <c r="AB33" s="38" t="s">
        <v>202</v>
      </c>
    </row>
    <row r="34" spans="1:28" x14ac:dyDescent="0.3">
      <c r="A34" s="8"/>
      <c r="B34" s="8"/>
      <c r="C34" s="11"/>
      <c r="D34" s="11"/>
      <c r="E34" s="11"/>
      <c r="F34" s="11"/>
      <c r="G34" s="11"/>
      <c r="H34" s="11"/>
      <c r="I34" s="11"/>
      <c r="O34" s="38" t="s">
        <v>196</v>
      </c>
      <c r="AB34" s="38" t="s">
        <v>196</v>
      </c>
    </row>
    <row r="35" spans="1:28" x14ac:dyDescent="0.3">
      <c r="O35" s="38" t="s">
        <v>197</v>
      </c>
    </row>
    <row r="36" spans="1:28" x14ac:dyDescent="0.3">
      <c r="O36" s="38" t="s">
        <v>198</v>
      </c>
      <c r="P36" s="151"/>
      <c r="Q36" s="151"/>
      <c r="AA36" s="155"/>
      <c r="AB36" t="s">
        <v>203</v>
      </c>
    </row>
    <row r="37" spans="1:28" x14ac:dyDescent="0.3">
      <c r="B37" t="s">
        <v>100</v>
      </c>
      <c r="O37" s="150"/>
      <c r="P37" s="151"/>
      <c r="Q37" s="151"/>
    </row>
    <row r="38" spans="1:28" x14ac:dyDescent="0.3">
      <c r="H38" s="3" t="s">
        <v>108</v>
      </c>
      <c r="I38" s="3" t="s">
        <v>107</v>
      </c>
      <c r="O38" s="151"/>
      <c r="P38" s="151"/>
    </row>
    <row r="39" spans="1:28" x14ac:dyDescent="0.3">
      <c r="C39" s="3" t="s">
        <v>2</v>
      </c>
      <c r="D39" s="3" t="s">
        <v>103</v>
      </c>
      <c r="E39" s="3" t="s">
        <v>104</v>
      </c>
      <c r="F39" s="3" t="s">
        <v>106</v>
      </c>
      <c r="G39" s="3" t="s">
        <v>72</v>
      </c>
      <c r="H39" s="3" t="s">
        <v>106</v>
      </c>
      <c r="I39" s="3" t="s">
        <v>106</v>
      </c>
      <c r="J39" s="3" t="s">
        <v>260</v>
      </c>
      <c r="K39" s="3"/>
      <c r="N39" s="151"/>
      <c r="O39" s="151"/>
    </row>
    <row r="40" spans="1:28" x14ac:dyDescent="0.3">
      <c r="B40" s="24" t="s">
        <v>101</v>
      </c>
      <c r="C40" s="7" t="s">
        <v>36</v>
      </c>
      <c r="D40" s="7" t="s">
        <v>95</v>
      </c>
      <c r="E40" s="7" t="s">
        <v>105</v>
      </c>
      <c r="F40" s="7" t="s">
        <v>105</v>
      </c>
      <c r="G40" s="7" t="s">
        <v>36</v>
      </c>
      <c r="H40" s="7" t="s">
        <v>27</v>
      </c>
      <c r="I40" s="7" t="s">
        <v>27</v>
      </c>
      <c r="J40" s="7" t="s">
        <v>109</v>
      </c>
      <c r="K40" s="3"/>
      <c r="N40" s="151"/>
      <c r="O40" s="151"/>
    </row>
    <row r="41" spans="1:28" x14ac:dyDescent="0.3">
      <c r="B41" s="156" t="s">
        <v>33</v>
      </c>
      <c r="C41" s="157">
        <v>48395</v>
      </c>
      <c r="D41" s="158">
        <v>2.5000000000000001E-2</v>
      </c>
      <c r="E41" s="159">
        <v>100000000</v>
      </c>
      <c r="F41" s="159">
        <v>97437152.153371006</v>
      </c>
      <c r="G41" s="157">
        <v>44925</v>
      </c>
      <c r="H41" s="31">
        <f>YIELD(G41,C41,D41,F41/E41*100,100,2)</f>
        <v>2.8092503137591127E-2</v>
      </c>
      <c r="I41" s="31">
        <f>(1+H41/2)^2-1</f>
        <v>2.8289800320725034E-2</v>
      </c>
      <c r="J41" s="160">
        <f>DURATION(G41,C41,D41,I41,2)/(1+I41)</f>
        <v>8.1590606332888651</v>
      </c>
      <c r="K41" s="160"/>
      <c r="M41" s="150"/>
      <c r="N41" s="151"/>
      <c r="O41" s="151"/>
    </row>
    <row r="42" spans="1:28" x14ac:dyDescent="0.3">
      <c r="B42" s="156" t="s">
        <v>102</v>
      </c>
      <c r="C42" s="157">
        <v>48395</v>
      </c>
      <c r="D42" s="158">
        <v>6.0999999999999999E-2</v>
      </c>
      <c r="E42" s="159">
        <v>100000000</v>
      </c>
      <c r="F42" s="159">
        <v>126564836.704265</v>
      </c>
      <c r="G42" s="157">
        <v>44925</v>
      </c>
      <c r="H42" s="31">
        <f>YIELD(G42,C42,D42,F42/E42*100,100,2)</f>
        <v>2.8832858929802634E-2</v>
      </c>
      <c r="I42" s="31">
        <f>(1+H42/2)^2-1</f>
        <v>2.9040692368319299E-2</v>
      </c>
      <c r="J42" s="160">
        <f>DURATION(G42,C42,D42,I42,2)/(1+I42)</f>
        <v>7.2321778593358017</v>
      </c>
      <c r="K42" s="160"/>
      <c r="N42" s="151"/>
      <c r="O42" s="151"/>
    </row>
    <row r="43" spans="1:28" x14ac:dyDescent="0.3">
      <c r="B43" s="161"/>
      <c r="C43" s="162"/>
      <c r="D43" s="8"/>
      <c r="E43" s="163"/>
      <c r="F43" s="163">
        <f>SUM(F41:F42)</f>
        <v>224001988.857636</v>
      </c>
      <c r="G43" s="8"/>
      <c r="H43" s="75">
        <f>SUMPRODUCT(F41:F42,H41:H42,J41:J42)/SUMPRODUCT(F41:F42,J41:J42)</f>
        <v>2.8488727746908287E-2</v>
      </c>
      <c r="I43" s="75">
        <f>SUMPRODUCT(F41:F42,I41:I42,J41:J42)/SUMPRODUCT(F41:F42,J41:J42)</f>
        <v>2.869166373737863E-2</v>
      </c>
      <c r="J43" s="164">
        <f>SUMPRODUCT(F41:F42,J41:J42)/F43</f>
        <v>7.6353565022334839</v>
      </c>
      <c r="K43" s="160"/>
      <c r="N43" s="151"/>
      <c r="O43" s="151"/>
    </row>
    <row r="44" spans="1:28" x14ac:dyDescent="0.3">
      <c r="B44" s="102"/>
      <c r="C44" s="4"/>
      <c r="I44" s="165"/>
      <c r="N44" s="151"/>
      <c r="O44" s="151"/>
    </row>
    <row r="45" spans="1:28" x14ac:dyDescent="0.3">
      <c r="F45" s="185">
        <f>PRICE(G41,C41,D41,I41,100,2)</f>
        <v>97.276185911625504</v>
      </c>
      <c r="N45" s="151"/>
      <c r="O45" s="151"/>
    </row>
    <row r="46" spans="1:28" x14ac:dyDescent="0.3">
      <c r="F46" s="166"/>
      <c r="N46" s="151"/>
      <c r="O46" s="151"/>
    </row>
    <row r="47" spans="1:28" x14ac:dyDescent="0.3">
      <c r="A47" s="5" t="s">
        <v>13</v>
      </c>
      <c r="E47" s="151"/>
      <c r="N47" s="151"/>
      <c r="O47" s="151"/>
    </row>
    <row r="48" spans="1:28" x14ac:dyDescent="0.3">
      <c r="A48" t="s">
        <v>369</v>
      </c>
      <c r="E48" s="151"/>
      <c r="N48" s="151"/>
      <c r="O48" s="151"/>
    </row>
    <row r="49" spans="1:15" x14ac:dyDescent="0.3">
      <c r="E49" s="151"/>
      <c r="N49" s="151"/>
      <c r="O49" s="151"/>
    </row>
    <row r="50" spans="1:15" x14ac:dyDescent="0.3">
      <c r="A50" s="5"/>
      <c r="E50" s="151"/>
      <c r="N50" s="151"/>
      <c r="O50" s="151"/>
    </row>
    <row r="51" spans="1:15" x14ac:dyDescent="0.3">
      <c r="N51" s="151"/>
      <c r="O51" s="151"/>
    </row>
    <row r="52" spans="1:15" x14ac:dyDescent="0.3">
      <c r="A52" s="5" t="s">
        <v>52</v>
      </c>
      <c r="N52" s="151"/>
      <c r="O52" s="151"/>
    </row>
    <row r="53" spans="1:15" x14ac:dyDescent="0.3">
      <c r="A53" s="5" t="s">
        <v>99</v>
      </c>
      <c r="N53" s="151"/>
      <c r="O53" s="151"/>
    </row>
    <row r="54" spans="1:15" x14ac:dyDescent="0.3">
      <c r="N54" s="151"/>
      <c r="O54" s="151"/>
    </row>
    <row r="55" spans="1:15" x14ac:dyDescent="0.3">
      <c r="A55" s="102"/>
      <c r="B55" s="102"/>
      <c r="C55" s="13" t="s">
        <v>54</v>
      </c>
      <c r="D55" s="13"/>
      <c r="E55" s="13"/>
      <c r="F55" s="13"/>
      <c r="G55" s="13"/>
      <c r="H55" s="13"/>
      <c r="N55" s="151"/>
      <c r="O55" s="151"/>
    </row>
    <row r="56" spans="1:15" x14ac:dyDescent="0.3">
      <c r="A56" s="24" t="s">
        <v>10</v>
      </c>
      <c r="B56" s="24"/>
      <c r="C56" s="7" t="s">
        <v>55</v>
      </c>
      <c r="D56" s="7" t="s">
        <v>367</v>
      </c>
      <c r="E56" s="7" t="s">
        <v>34</v>
      </c>
      <c r="F56" s="7" t="s">
        <v>35</v>
      </c>
      <c r="G56" s="7" t="s">
        <v>33</v>
      </c>
      <c r="H56" s="7" t="s">
        <v>56</v>
      </c>
      <c r="N56" s="151"/>
      <c r="O56" s="151"/>
    </row>
    <row r="57" spans="1:15" x14ac:dyDescent="0.3">
      <c r="A57" s="102">
        <v>1</v>
      </c>
      <c r="B57" s="102"/>
      <c r="C57" s="26">
        <v>0</v>
      </c>
      <c r="D57" s="26">
        <v>1.5117666833416377E-4</v>
      </c>
      <c r="E57" s="26">
        <v>0</v>
      </c>
      <c r="F57" s="26">
        <v>2.05E-4</v>
      </c>
      <c r="G57" s="26">
        <v>5.6499999999999996E-4</v>
      </c>
      <c r="H57" s="26">
        <v>1.6949999999999999E-3</v>
      </c>
      <c r="N57" s="151"/>
      <c r="O57" s="151"/>
    </row>
    <row r="58" spans="1:15" x14ac:dyDescent="0.3">
      <c r="A58" s="102">
        <f>+A57+1</f>
        <v>2</v>
      </c>
      <c r="B58" s="102"/>
      <c r="C58" s="26">
        <v>0</v>
      </c>
      <c r="D58" s="26">
        <v>4.9589182084508975E-4</v>
      </c>
      <c r="E58" s="26">
        <v>2.05E-4</v>
      </c>
      <c r="F58" s="26">
        <v>5.9500000000000004E-4</v>
      </c>
      <c r="G58" s="26">
        <v>1.495E-3</v>
      </c>
      <c r="H58" s="26">
        <v>4.6499999999999996E-3</v>
      </c>
      <c r="N58" s="151"/>
      <c r="O58" s="151"/>
    </row>
    <row r="59" spans="1:15" x14ac:dyDescent="0.3">
      <c r="A59" s="102">
        <f t="shared" ref="A59:A66" si="15">+A58+1</f>
        <v>3</v>
      </c>
      <c r="B59" s="102"/>
      <c r="C59" s="26">
        <v>0</v>
      </c>
      <c r="D59" s="26">
        <v>1.0440297678685445E-3</v>
      </c>
      <c r="E59" s="26">
        <v>7.0500000000000001E-4</v>
      </c>
      <c r="F59" s="26">
        <v>1.145E-3</v>
      </c>
      <c r="G59" s="26">
        <v>2.8700000000000002E-3</v>
      </c>
      <c r="H59" s="26">
        <v>8.0299999999999989E-3</v>
      </c>
      <c r="N59" s="151"/>
      <c r="O59" s="151"/>
    </row>
    <row r="60" spans="1:15" x14ac:dyDescent="0.3">
      <c r="A60" s="102">
        <f t="shared" si="15"/>
        <v>4</v>
      </c>
      <c r="B60" s="102"/>
      <c r="C60" s="26">
        <v>0</v>
      </c>
      <c r="D60" s="26">
        <v>1.8804743117793706E-3</v>
      </c>
      <c r="E60" s="26">
        <v>1.3500000000000001E-3</v>
      </c>
      <c r="F60" s="26">
        <v>2.0449999999999999E-3</v>
      </c>
      <c r="G60" s="26">
        <v>4.4400000000000004E-3</v>
      </c>
      <c r="H60" s="26">
        <v>1.208E-2</v>
      </c>
      <c r="N60" s="151"/>
      <c r="O60" s="151"/>
    </row>
    <row r="61" spans="1:15" x14ac:dyDescent="0.3">
      <c r="A61" s="102">
        <f t="shared" si="15"/>
        <v>5</v>
      </c>
      <c r="B61" s="102"/>
      <c r="C61" s="26">
        <v>0</v>
      </c>
      <c r="D61" s="26">
        <v>2.8547454610883057E-3</v>
      </c>
      <c r="E61" s="26">
        <v>2.1700000000000001E-3</v>
      </c>
      <c r="F61" s="26">
        <v>3.065E-3</v>
      </c>
      <c r="G61" s="26">
        <v>6.2550000000000001E-3</v>
      </c>
      <c r="H61" s="26">
        <v>1.6230000000000001E-2</v>
      </c>
      <c r="N61" s="151"/>
      <c r="O61" s="151"/>
    </row>
    <row r="62" spans="1:15" x14ac:dyDescent="0.3">
      <c r="A62" s="102">
        <f t="shared" si="15"/>
        <v>6</v>
      </c>
      <c r="B62" s="102"/>
      <c r="C62" s="26">
        <v>0</v>
      </c>
      <c r="D62" s="26">
        <v>3.8778521120004321E-3</v>
      </c>
      <c r="E62" s="26">
        <v>2.98E-3</v>
      </c>
      <c r="F62" s="26">
        <v>4.1549999999999998E-3</v>
      </c>
      <c r="G62" s="26">
        <v>8.2699999999999996E-3</v>
      </c>
      <c r="H62" s="26">
        <v>2.0420000000000001E-2</v>
      </c>
      <c r="N62" s="151"/>
      <c r="O62" s="151"/>
    </row>
    <row r="63" spans="1:15" x14ac:dyDescent="0.3">
      <c r="A63" s="102">
        <f t="shared" si="15"/>
        <v>7</v>
      </c>
      <c r="B63" s="102"/>
      <c r="C63" s="26">
        <v>0</v>
      </c>
      <c r="D63" s="26">
        <v>4.8257799733797844E-3</v>
      </c>
      <c r="E63" s="26">
        <v>3.5050000000000003E-3</v>
      </c>
      <c r="F63" s="26">
        <v>5.2499999999999995E-3</v>
      </c>
      <c r="G63" s="26">
        <v>1.0534999999999999E-2</v>
      </c>
      <c r="H63" s="26">
        <v>2.4260000000000004E-2</v>
      </c>
      <c r="N63" s="151"/>
      <c r="O63" s="151"/>
    </row>
    <row r="64" spans="1:15" x14ac:dyDescent="0.3">
      <c r="A64" s="102">
        <f t="shared" si="15"/>
        <v>8</v>
      </c>
      <c r="B64" s="102"/>
      <c r="C64" s="26">
        <v>0</v>
      </c>
      <c r="D64" s="26">
        <v>5.6822663370386575E-3</v>
      </c>
      <c r="E64" s="26">
        <v>4.2450000000000005E-3</v>
      </c>
      <c r="F64" s="26">
        <v>6.1250000000000002E-3</v>
      </c>
      <c r="G64" s="26">
        <v>1.2754999999999999E-2</v>
      </c>
      <c r="H64" s="26">
        <v>2.8205000000000001E-2</v>
      </c>
      <c r="N64" s="151"/>
      <c r="O64" s="151"/>
    </row>
    <row r="65" spans="1:15" x14ac:dyDescent="0.3">
      <c r="A65" s="102">
        <f t="shared" si="15"/>
        <v>9</v>
      </c>
      <c r="B65" s="102"/>
      <c r="C65" s="26">
        <v>0</v>
      </c>
      <c r="D65" s="26">
        <v>6.4381472641580782E-3</v>
      </c>
      <c r="E65" s="26">
        <v>4.8000000000000004E-3</v>
      </c>
      <c r="F65" s="26">
        <v>6.9300000000000004E-3</v>
      </c>
      <c r="G65" s="26">
        <v>1.508E-2</v>
      </c>
      <c r="H65" s="26">
        <v>3.2340000000000001E-2</v>
      </c>
      <c r="N65" s="151"/>
      <c r="O65" s="151"/>
    </row>
    <row r="66" spans="1:15" x14ac:dyDescent="0.3">
      <c r="A66" s="102">
        <f t="shared" si="15"/>
        <v>10</v>
      </c>
      <c r="B66" s="102"/>
      <c r="C66" s="26">
        <v>0</v>
      </c>
      <c r="D66" s="26">
        <v>7.1920071059510208E-3</v>
      </c>
      <c r="E66" s="26">
        <v>5.4300000000000008E-3</v>
      </c>
      <c r="F66" s="26">
        <v>7.7000000000000002E-3</v>
      </c>
      <c r="G66" s="26">
        <v>1.7444999999999999E-2</v>
      </c>
      <c r="H66" s="26">
        <v>3.6644999999999997E-2</v>
      </c>
      <c r="N66" s="151"/>
      <c r="O66" s="151"/>
    </row>
    <row r="67" spans="1:15" x14ac:dyDescent="0.3">
      <c r="A67" s="8"/>
      <c r="B67" s="8"/>
      <c r="C67" s="75"/>
      <c r="D67" s="75"/>
      <c r="E67" s="75"/>
      <c r="F67" s="75"/>
      <c r="G67" s="75"/>
      <c r="H67" s="75"/>
      <c r="N67" s="151"/>
      <c r="O67" s="151"/>
    </row>
    <row r="68" spans="1:15" x14ac:dyDescent="0.3">
      <c r="N68" s="151"/>
      <c r="O68" s="151"/>
    </row>
    <row r="69" spans="1:15" x14ac:dyDescent="0.3">
      <c r="A69" s="167" t="s">
        <v>13</v>
      </c>
      <c r="N69" s="151"/>
      <c r="O69" s="151"/>
    </row>
    <row r="70" spans="1:15" x14ac:dyDescent="0.3">
      <c r="A70" s="150" t="s">
        <v>240</v>
      </c>
      <c r="N70" s="151"/>
      <c r="O70" s="151"/>
    </row>
    <row r="71" spans="1:15" x14ac:dyDescent="0.3">
      <c r="A71" s="150" t="s">
        <v>241</v>
      </c>
      <c r="N71" s="151"/>
      <c r="O71" s="151"/>
    </row>
    <row r="72" spans="1:15" x14ac:dyDescent="0.3">
      <c r="A72" t="s">
        <v>233</v>
      </c>
    </row>
    <row r="75" spans="1:15" x14ac:dyDescent="0.3">
      <c r="A75" s="5" t="s">
        <v>176</v>
      </c>
    </row>
    <row r="76" spans="1:15" x14ac:dyDescent="0.3">
      <c r="A76" s="168" t="s">
        <v>231</v>
      </c>
      <c r="B76" s="169"/>
      <c r="C76" s="169"/>
      <c r="D76" s="169"/>
      <c r="E76" s="169"/>
      <c r="F76" s="169"/>
      <c r="G76" s="169"/>
      <c r="H76" s="169"/>
      <c r="I76" s="169"/>
      <c r="J76" s="169"/>
      <c r="K76" s="169"/>
      <c r="L76" s="169"/>
      <c r="M76" s="169"/>
    </row>
    <row r="77" spans="1:15" x14ac:dyDescent="0.3">
      <c r="A77" s="169"/>
      <c r="B77" s="169"/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69"/>
    </row>
    <row r="78" spans="1:15" x14ac:dyDescent="0.3">
      <c r="A78" s="102"/>
      <c r="B78" s="102"/>
      <c r="C78" s="13" t="s">
        <v>54</v>
      </c>
      <c r="D78" s="13"/>
      <c r="E78" s="13"/>
      <c r="F78" s="13"/>
      <c r="G78" s="13"/>
      <c r="H78" s="13"/>
      <c r="I78" s="169"/>
      <c r="J78" s="169"/>
      <c r="K78" s="169"/>
      <c r="L78" s="169"/>
      <c r="M78" s="169"/>
    </row>
    <row r="79" spans="1:15" x14ac:dyDescent="0.3">
      <c r="A79" s="24" t="s">
        <v>10</v>
      </c>
      <c r="B79" s="24"/>
      <c r="C79" s="7" t="s">
        <v>55</v>
      </c>
      <c r="D79" s="7" t="s">
        <v>367</v>
      </c>
      <c r="E79" s="7" t="s">
        <v>34</v>
      </c>
      <c r="F79" s="7" t="s">
        <v>35</v>
      </c>
      <c r="G79" s="7" t="s">
        <v>33</v>
      </c>
      <c r="H79" s="7" t="s">
        <v>56</v>
      </c>
      <c r="I79" s="169"/>
      <c r="J79" s="169"/>
      <c r="K79" s="169"/>
      <c r="L79" s="169"/>
      <c r="M79" s="169"/>
    </row>
    <row r="80" spans="1:15" x14ac:dyDescent="0.3">
      <c r="A80" s="102">
        <v>1</v>
      </c>
      <c r="B80" s="102"/>
      <c r="C80" s="26">
        <v>0</v>
      </c>
      <c r="D80" s="26">
        <v>4.4439163867565049E-4</v>
      </c>
      <c r="E80" s="26">
        <v>4.4621967879078707E-4</v>
      </c>
      <c r="F80" s="26">
        <v>4.2546040926745002E-4</v>
      </c>
      <c r="G80" s="26">
        <v>1.2711603142548796E-3</v>
      </c>
      <c r="H80" s="26">
        <v>3.8079976962412465E-3</v>
      </c>
      <c r="I80" s="169"/>
      <c r="J80" s="169"/>
      <c r="K80" s="169"/>
      <c r="L80" s="169"/>
      <c r="M80" s="169"/>
    </row>
    <row r="81" spans="1:14" x14ac:dyDescent="0.3">
      <c r="A81" s="102">
        <f>+A80+1</f>
        <v>2</v>
      </c>
      <c r="B81" s="102"/>
      <c r="C81" s="26">
        <v>0</v>
      </c>
      <c r="D81" s="26">
        <v>1.0963998151722828E-3</v>
      </c>
      <c r="E81" s="26">
        <v>4.5193489936027411E-4</v>
      </c>
      <c r="F81" s="26">
        <v>1.3147463740944023E-3</v>
      </c>
      <c r="G81" s="26">
        <v>3.365669343455805E-3</v>
      </c>
      <c r="H81" s="26">
        <v>9.5688597728990268E-3</v>
      </c>
      <c r="I81" s="169"/>
      <c r="J81" s="169"/>
      <c r="K81" s="169"/>
      <c r="L81" s="169"/>
      <c r="M81" s="169"/>
      <c r="N81" s="169"/>
    </row>
    <row r="82" spans="1:14" x14ac:dyDescent="0.3">
      <c r="A82" s="102">
        <f t="shared" ref="A82:A89" si="16">+A81+1</f>
        <v>3</v>
      </c>
      <c r="B82" s="102"/>
      <c r="C82" s="26">
        <v>0</v>
      </c>
      <c r="D82" s="26">
        <v>2.3532636253393753E-3</v>
      </c>
      <c r="E82" s="26">
        <v>1.5909044113317442E-3</v>
      </c>
      <c r="F82" s="26">
        <v>2.5848941820924239E-3</v>
      </c>
      <c r="G82" s="26">
        <v>6.2506615810968471E-3</v>
      </c>
      <c r="H82" s="26">
        <v>1.5445350540118708E-2</v>
      </c>
      <c r="I82" s="169"/>
      <c r="J82" s="169"/>
      <c r="K82" s="169"/>
      <c r="L82" s="169"/>
      <c r="M82" s="169"/>
    </row>
    <row r="83" spans="1:14" x14ac:dyDescent="0.3">
      <c r="A83" s="102">
        <f t="shared" si="16"/>
        <v>4</v>
      </c>
      <c r="B83" s="102"/>
      <c r="C83" s="26">
        <v>0</v>
      </c>
      <c r="D83" s="26">
        <v>4.2508852274774616E-3</v>
      </c>
      <c r="E83" s="26">
        <v>3.0575208186027557E-3</v>
      </c>
      <c r="F83" s="26">
        <v>4.6315778326241749E-3</v>
      </c>
      <c r="G83" s="26">
        <v>9.527773060855246E-3</v>
      </c>
      <c r="H83" s="26">
        <v>2.2648523975402655E-2</v>
      </c>
      <c r="I83" s="169"/>
      <c r="J83" s="169"/>
      <c r="K83" s="169"/>
      <c r="L83" s="169"/>
      <c r="M83" s="169"/>
    </row>
    <row r="84" spans="1:14" x14ac:dyDescent="0.3">
      <c r="A84" s="102">
        <f t="shared" si="16"/>
        <v>5</v>
      </c>
      <c r="B84" s="102"/>
      <c r="C84" s="26">
        <v>0</v>
      </c>
      <c r="D84" s="26">
        <v>6.3703144554743078E-3</v>
      </c>
      <c r="E84" s="26">
        <v>4.8545257094610821E-3</v>
      </c>
      <c r="F84" s="26">
        <v>6.8567379260360438E-3</v>
      </c>
      <c r="G84" s="26">
        <v>1.2942103282711538E-2</v>
      </c>
      <c r="H84" s="26">
        <v>2.9511195727944591E-2</v>
      </c>
      <c r="I84" s="169"/>
      <c r="J84" s="169"/>
      <c r="K84" s="169"/>
      <c r="L84" s="169"/>
      <c r="M84" s="169"/>
      <c r="N84" s="151"/>
    </row>
    <row r="85" spans="1:14" x14ac:dyDescent="0.3">
      <c r="A85" s="102">
        <f t="shared" si="16"/>
        <v>6</v>
      </c>
      <c r="B85" s="102"/>
      <c r="C85" s="26">
        <v>0</v>
      </c>
      <c r="D85" s="26">
        <v>8.4577073666459446E-3</v>
      </c>
      <c r="E85" s="26">
        <v>6.5142107300133808E-3</v>
      </c>
      <c r="F85" s="26">
        <v>9.0827334171830962E-3</v>
      </c>
      <c r="G85" s="26">
        <v>1.6822459369031144E-2</v>
      </c>
      <c r="H85" s="26">
        <v>3.5764617282303318E-2</v>
      </c>
      <c r="I85" s="169"/>
      <c r="J85" s="169"/>
      <c r="K85" s="169"/>
      <c r="L85" s="169"/>
      <c r="M85" s="169"/>
      <c r="N85" s="151"/>
    </row>
    <row r="86" spans="1:14" x14ac:dyDescent="0.3">
      <c r="A86" s="102">
        <f t="shared" si="16"/>
        <v>7</v>
      </c>
      <c r="B86" s="102"/>
      <c r="C86" s="26">
        <v>0</v>
      </c>
      <c r="D86" s="26">
        <v>1.0271516829896367E-2</v>
      </c>
      <c r="E86" s="26">
        <v>7.476145314859634E-3</v>
      </c>
      <c r="F86" s="26">
        <v>1.1198220514411718E-2</v>
      </c>
      <c r="G86" s="26">
        <v>2.1041623879994791E-2</v>
      </c>
      <c r="H86" s="26">
        <v>4.0861574232849578E-2</v>
      </c>
      <c r="I86" s="169"/>
      <c r="J86" s="169"/>
      <c r="K86" s="169"/>
      <c r="L86" s="169"/>
      <c r="M86" s="169"/>
      <c r="N86" s="151"/>
    </row>
    <row r="87" spans="1:14" x14ac:dyDescent="0.3">
      <c r="A87" s="102">
        <f t="shared" si="16"/>
        <v>8</v>
      </c>
      <c r="B87" s="102"/>
      <c r="C87" s="26">
        <v>0</v>
      </c>
      <c r="D87" s="26">
        <v>1.1794670564047397E-2</v>
      </c>
      <c r="E87" s="26">
        <v>8.830980885120342E-3</v>
      </c>
      <c r="F87" s="26">
        <v>1.2741992443194832E-2</v>
      </c>
      <c r="G87" s="26">
        <v>2.4814069511558699E-2</v>
      </c>
      <c r="H87" s="26">
        <v>4.6169157811348491E-2</v>
      </c>
      <c r="I87" s="169"/>
      <c r="J87" s="169"/>
      <c r="K87" s="169"/>
      <c r="L87" s="169"/>
      <c r="M87" s="169"/>
      <c r="N87" s="151"/>
    </row>
    <row r="88" spans="1:14" x14ac:dyDescent="0.3">
      <c r="A88" s="102">
        <f t="shared" si="16"/>
        <v>9</v>
      </c>
      <c r="B88" s="102"/>
      <c r="C88" s="26">
        <v>0</v>
      </c>
      <c r="D88" s="26">
        <v>1.2942087780600844E-2</v>
      </c>
      <c r="E88" s="26">
        <v>9.6676408547989052E-3</v>
      </c>
      <c r="F88" s="26">
        <v>1.3957656484115906E-2</v>
      </c>
      <c r="G88" s="26">
        <v>2.8741002484526632E-2</v>
      </c>
      <c r="H88" s="26">
        <v>5.1904427151418513E-2</v>
      </c>
      <c r="I88" s="169"/>
      <c r="J88" s="169"/>
      <c r="K88" s="169"/>
      <c r="L88" s="169"/>
      <c r="M88" s="169"/>
      <c r="N88" s="151"/>
    </row>
    <row r="89" spans="1:14" x14ac:dyDescent="0.3">
      <c r="A89" s="102">
        <f t="shared" si="16"/>
        <v>10</v>
      </c>
      <c r="B89" s="102"/>
      <c r="C89" s="26">
        <v>0</v>
      </c>
      <c r="D89" s="26">
        <v>1.4285605410197293E-2</v>
      </c>
      <c r="E89" s="26">
        <v>1.0815748223540641E-2</v>
      </c>
      <c r="F89" s="26">
        <v>1.5337248862111035E-2</v>
      </c>
      <c r="G89" s="26">
        <v>3.2143568625890996E-2</v>
      </c>
      <c r="H89" s="26">
        <v>5.6675083316482022E-2</v>
      </c>
      <c r="I89" s="169"/>
      <c r="J89" s="169"/>
      <c r="K89" s="169"/>
      <c r="L89" s="169"/>
      <c r="M89" s="169"/>
      <c r="N89" s="151"/>
    </row>
    <row r="90" spans="1:14" x14ac:dyDescent="0.3">
      <c r="A90" s="8"/>
      <c r="B90" s="8"/>
      <c r="C90" s="75"/>
      <c r="D90" s="75"/>
      <c r="E90" s="75"/>
      <c r="F90" s="75"/>
      <c r="G90" s="75"/>
      <c r="H90" s="75"/>
      <c r="I90" s="169"/>
      <c r="J90" s="169"/>
      <c r="K90" s="169"/>
      <c r="L90" s="169"/>
      <c r="M90" s="169"/>
      <c r="N90" s="151"/>
    </row>
    <row r="91" spans="1:14" x14ac:dyDescent="0.3">
      <c r="J91" s="169"/>
      <c r="K91" s="169"/>
      <c r="L91" s="169"/>
      <c r="M91" s="169"/>
      <c r="N91" s="151"/>
    </row>
    <row r="92" spans="1:14" x14ac:dyDescent="0.3">
      <c r="A92" s="167" t="s">
        <v>13</v>
      </c>
      <c r="N92" s="151"/>
    </row>
    <row r="93" spans="1:14" x14ac:dyDescent="0.3">
      <c r="A93" s="155" t="s">
        <v>242</v>
      </c>
      <c r="N93" s="151"/>
    </row>
    <row r="94" spans="1:14" x14ac:dyDescent="0.3">
      <c r="A94" t="s">
        <v>233</v>
      </c>
    </row>
    <row r="95" spans="1:14" x14ac:dyDescent="0.3">
      <c r="A95" s="150"/>
    </row>
    <row r="96" spans="1:14" x14ac:dyDescent="0.3">
      <c r="A96" s="150"/>
    </row>
    <row r="97" spans="1:18" x14ac:dyDescent="0.3">
      <c r="A97" s="5" t="s">
        <v>177</v>
      </c>
    </row>
    <row r="98" spans="1:18" x14ac:dyDescent="0.3">
      <c r="A98" s="168" t="s">
        <v>186</v>
      </c>
      <c r="B98" s="169"/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M98" s="169"/>
    </row>
    <row r="99" spans="1:18" x14ac:dyDescent="0.3">
      <c r="A99" s="169"/>
      <c r="B99" s="169"/>
      <c r="C99" s="169"/>
      <c r="D99" s="169"/>
      <c r="E99" s="169"/>
      <c r="F99" s="169"/>
      <c r="G99" s="169"/>
      <c r="H99" s="169"/>
      <c r="I99" s="169"/>
      <c r="J99" s="169"/>
      <c r="K99" s="169"/>
      <c r="L99" s="169"/>
      <c r="M99" s="169"/>
    </row>
    <row r="100" spans="1:18" x14ac:dyDescent="0.3">
      <c r="A100" s="102"/>
      <c r="B100" s="102"/>
      <c r="C100" s="13" t="s">
        <v>54</v>
      </c>
      <c r="D100" s="13"/>
      <c r="E100" s="13"/>
      <c r="F100" s="13"/>
      <c r="G100" s="13"/>
      <c r="H100" s="13"/>
      <c r="I100" s="169"/>
    </row>
    <row r="101" spans="1:18" x14ac:dyDescent="0.3">
      <c r="A101" s="24" t="s">
        <v>10</v>
      </c>
      <c r="B101" s="24"/>
      <c r="C101" s="7" t="s">
        <v>55</v>
      </c>
      <c r="D101" s="7" t="s">
        <v>367</v>
      </c>
      <c r="E101" s="7" t="s">
        <v>34</v>
      </c>
      <c r="F101" s="7" t="s">
        <v>35</v>
      </c>
      <c r="G101" s="7" t="s">
        <v>33</v>
      </c>
      <c r="H101" s="7" t="s">
        <v>56</v>
      </c>
      <c r="I101" s="169"/>
    </row>
    <row r="102" spans="1:18" x14ac:dyDescent="0.3">
      <c r="A102" s="102">
        <v>1</v>
      </c>
      <c r="B102" s="102"/>
      <c r="C102" s="27">
        <f t="shared" ref="C102:H111" si="17">C57*2</f>
        <v>0</v>
      </c>
      <c r="D102" s="27">
        <f t="shared" si="17"/>
        <v>3.0235333666832754E-4</v>
      </c>
      <c r="E102" s="27">
        <f t="shared" si="17"/>
        <v>0</v>
      </c>
      <c r="F102" s="27">
        <f t="shared" si="17"/>
        <v>4.0999999999999999E-4</v>
      </c>
      <c r="G102" s="27">
        <f t="shared" si="17"/>
        <v>1.1299999999999999E-3</v>
      </c>
      <c r="H102" s="27">
        <f t="shared" si="17"/>
        <v>3.3899999999999998E-3</v>
      </c>
      <c r="I102" s="169"/>
      <c r="O102" s="151"/>
      <c r="P102" s="151"/>
      <c r="Q102" s="151"/>
      <c r="R102" s="151"/>
    </row>
    <row r="103" spans="1:18" x14ac:dyDescent="0.3">
      <c r="A103" s="102">
        <f>+A102+1</f>
        <v>2</v>
      </c>
      <c r="B103" s="102"/>
      <c r="C103" s="27">
        <f t="shared" si="17"/>
        <v>0</v>
      </c>
      <c r="D103" s="27">
        <f t="shared" si="17"/>
        <v>9.917836416901795E-4</v>
      </c>
      <c r="E103" s="27">
        <f t="shared" si="17"/>
        <v>4.0999999999999999E-4</v>
      </c>
      <c r="F103" s="27">
        <f t="shared" si="17"/>
        <v>1.1900000000000001E-3</v>
      </c>
      <c r="G103" s="27">
        <f t="shared" si="17"/>
        <v>2.99E-3</v>
      </c>
      <c r="H103" s="27">
        <f t="shared" si="17"/>
        <v>9.2999999999999992E-3</v>
      </c>
      <c r="I103" s="169"/>
      <c r="N103" s="169"/>
      <c r="O103" s="151"/>
      <c r="P103" s="151"/>
      <c r="Q103" s="151"/>
      <c r="R103" s="151"/>
    </row>
    <row r="104" spans="1:18" x14ac:dyDescent="0.3">
      <c r="A104" s="102">
        <f t="shared" ref="A104:A111" si="18">+A103+1</f>
        <v>3</v>
      </c>
      <c r="B104" s="102"/>
      <c r="C104" s="27">
        <f t="shared" si="17"/>
        <v>0</v>
      </c>
      <c r="D104" s="27">
        <f t="shared" si="17"/>
        <v>2.088059535737089E-3</v>
      </c>
      <c r="E104" s="27">
        <f t="shared" si="17"/>
        <v>1.41E-3</v>
      </c>
      <c r="F104" s="27">
        <f t="shared" si="17"/>
        <v>2.2899999999999999E-3</v>
      </c>
      <c r="G104" s="27">
        <f t="shared" si="17"/>
        <v>5.7400000000000003E-3</v>
      </c>
      <c r="H104" s="27">
        <f t="shared" si="17"/>
        <v>1.6059999999999998E-2</v>
      </c>
      <c r="I104" s="169"/>
      <c r="O104" s="151"/>
      <c r="P104" s="151"/>
      <c r="Q104" s="151"/>
      <c r="R104" s="151"/>
    </row>
    <row r="105" spans="1:18" x14ac:dyDescent="0.3">
      <c r="A105" s="102">
        <f t="shared" si="18"/>
        <v>4</v>
      </c>
      <c r="B105" s="102"/>
      <c r="C105" s="27">
        <f t="shared" si="17"/>
        <v>0</v>
      </c>
      <c r="D105" s="27">
        <f t="shared" si="17"/>
        <v>3.7609486235587412E-3</v>
      </c>
      <c r="E105" s="27">
        <f t="shared" si="17"/>
        <v>2.7000000000000001E-3</v>
      </c>
      <c r="F105" s="27">
        <f t="shared" si="17"/>
        <v>4.0899999999999999E-3</v>
      </c>
      <c r="G105" s="27">
        <f t="shared" si="17"/>
        <v>8.8800000000000007E-3</v>
      </c>
      <c r="H105" s="27">
        <f t="shared" si="17"/>
        <v>2.4160000000000001E-2</v>
      </c>
      <c r="I105" s="169"/>
      <c r="O105" s="151"/>
      <c r="P105" s="151"/>
      <c r="Q105" s="151"/>
      <c r="R105" s="151"/>
    </row>
    <row r="106" spans="1:18" x14ac:dyDescent="0.3">
      <c r="A106" s="102">
        <f t="shared" si="18"/>
        <v>5</v>
      </c>
      <c r="B106" s="102"/>
      <c r="C106" s="27">
        <f t="shared" si="17"/>
        <v>0</v>
      </c>
      <c r="D106" s="27">
        <f t="shared" si="17"/>
        <v>5.7094909221766113E-3</v>
      </c>
      <c r="E106" s="27">
        <f t="shared" si="17"/>
        <v>4.3400000000000001E-3</v>
      </c>
      <c r="F106" s="27">
        <f t="shared" si="17"/>
        <v>6.13E-3</v>
      </c>
      <c r="G106" s="27">
        <f t="shared" si="17"/>
        <v>1.251E-2</v>
      </c>
      <c r="H106" s="27">
        <f t="shared" si="17"/>
        <v>3.2460000000000003E-2</v>
      </c>
      <c r="I106" s="169"/>
      <c r="O106" s="151"/>
      <c r="P106" s="151"/>
      <c r="Q106" s="151"/>
      <c r="R106" s="151"/>
    </row>
    <row r="107" spans="1:18" x14ac:dyDescent="0.3">
      <c r="A107" s="102">
        <f t="shared" si="18"/>
        <v>6</v>
      </c>
      <c r="B107" s="102"/>
      <c r="C107" s="27">
        <f t="shared" si="17"/>
        <v>0</v>
      </c>
      <c r="D107" s="27">
        <f t="shared" si="17"/>
        <v>7.7557042240008643E-3</v>
      </c>
      <c r="E107" s="27">
        <f t="shared" si="17"/>
        <v>5.96E-3</v>
      </c>
      <c r="F107" s="27">
        <f t="shared" si="17"/>
        <v>8.3099999999999997E-3</v>
      </c>
      <c r="G107" s="27">
        <f t="shared" si="17"/>
        <v>1.6539999999999999E-2</v>
      </c>
      <c r="H107" s="27">
        <f t="shared" si="17"/>
        <v>4.0840000000000001E-2</v>
      </c>
      <c r="I107" s="169"/>
      <c r="O107" s="151"/>
      <c r="P107" s="151"/>
      <c r="Q107" s="151"/>
      <c r="R107" s="151"/>
    </row>
    <row r="108" spans="1:18" x14ac:dyDescent="0.3">
      <c r="A108" s="102">
        <f t="shared" si="18"/>
        <v>7</v>
      </c>
      <c r="B108" s="102"/>
      <c r="C108" s="27">
        <f t="shared" si="17"/>
        <v>0</v>
      </c>
      <c r="D108" s="27">
        <f t="shared" si="17"/>
        <v>9.6515599467595688E-3</v>
      </c>
      <c r="E108" s="27">
        <f t="shared" si="17"/>
        <v>7.0100000000000006E-3</v>
      </c>
      <c r="F108" s="27">
        <f t="shared" si="17"/>
        <v>1.0499999999999999E-2</v>
      </c>
      <c r="G108" s="27">
        <f t="shared" si="17"/>
        <v>2.1069999999999998E-2</v>
      </c>
      <c r="H108" s="27">
        <f t="shared" si="17"/>
        <v>4.8520000000000008E-2</v>
      </c>
      <c r="I108" s="169"/>
      <c r="O108" s="151"/>
      <c r="P108" s="151"/>
      <c r="Q108" s="151"/>
      <c r="R108" s="151"/>
    </row>
    <row r="109" spans="1:18" x14ac:dyDescent="0.3">
      <c r="A109" s="102">
        <f t="shared" si="18"/>
        <v>8</v>
      </c>
      <c r="B109" s="102"/>
      <c r="C109" s="27">
        <f t="shared" si="17"/>
        <v>0</v>
      </c>
      <c r="D109" s="27">
        <f t="shared" si="17"/>
        <v>1.1364532674077315E-2</v>
      </c>
      <c r="E109" s="27">
        <f t="shared" si="17"/>
        <v>8.490000000000001E-3</v>
      </c>
      <c r="F109" s="27">
        <f t="shared" si="17"/>
        <v>1.225E-2</v>
      </c>
      <c r="G109" s="27">
        <f t="shared" si="17"/>
        <v>2.5509999999999998E-2</v>
      </c>
      <c r="H109" s="27">
        <f t="shared" si="17"/>
        <v>5.6410000000000002E-2</v>
      </c>
      <c r="I109" s="169"/>
      <c r="O109" s="151"/>
      <c r="P109" s="151"/>
      <c r="Q109" s="151"/>
      <c r="R109" s="151"/>
    </row>
    <row r="110" spans="1:18" x14ac:dyDescent="0.3">
      <c r="A110" s="102">
        <f t="shared" si="18"/>
        <v>9</v>
      </c>
      <c r="B110" s="102"/>
      <c r="C110" s="27">
        <f t="shared" si="17"/>
        <v>0</v>
      </c>
      <c r="D110" s="27">
        <f t="shared" si="17"/>
        <v>1.2876294528316156E-2</v>
      </c>
      <c r="E110" s="27">
        <f t="shared" si="17"/>
        <v>9.6000000000000009E-3</v>
      </c>
      <c r="F110" s="27">
        <f t="shared" si="17"/>
        <v>1.3860000000000001E-2</v>
      </c>
      <c r="G110" s="27">
        <f t="shared" si="17"/>
        <v>3.0159999999999999E-2</v>
      </c>
      <c r="H110" s="27">
        <f t="shared" si="17"/>
        <v>6.4680000000000001E-2</v>
      </c>
      <c r="I110" s="169"/>
      <c r="O110" s="151"/>
      <c r="P110" s="151"/>
      <c r="Q110" s="151"/>
      <c r="R110" s="151"/>
    </row>
    <row r="111" spans="1:18" x14ac:dyDescent="0.3">
      <c r="A111" s="102">
        <f t="shared" si="18"/>
        <v>10</v>
      </c>
      <c r="B111" s="102"/>
      <c r="C111" s="27">
        <f t="shared" si="17"/>
        <v>0</v>
      </c>
      <c r="D111" s="27">
        <f t="shared" si="17"/>
        <v>1.4384014211902042E-2</v>
      </c>
      <c r="E111" s="27">
        <f t="shared" si="17"/>
        <v>1.0860000000000002E-2</v>
      </c>
      <c r="F111" s="27">
        <f t="shared" si="17"/>
        <v>1.54E-2</v>
      </c>
      <c r="G111" s="27">
        <f t="shared" si="17"/>
        <v>3.4889999999999997E-2</v>
      </c>
      <c r="H111" s="27">
        <f t="shared" si="17"/>
        <v>7.3289999999999994E-2</v>
      </c>
      <c r="I111" s="169"/>
      <c r="O111" s="151"/>
      <c r="P111" s="151"/>
      <c r="Q111" s="151"/>
      <c r="R111" s="151"/>
    </row>
    <row r="112" spans="1:18" x14ac:dyDescent="0.3">
      <c r="A112" s="8"/>
      <c r="B112" s="8"/>
      <c r="C112" s="75"/>
      <c r="D112" s="75"/>
      <c r="E112" s="75"/>
      <c r="F112" s="75"/>
      <c r="G112" s="75"/>
      <c r="H112" s="75"/>
      <c r="I112" s="169"/>
      <c r="O112" s="151"/>
      <c r="P112" s="151"/>
      <c r="Q112" s="151"/>
      <c r="R112" s="151"/>
    </row>
    <row r="113" spans="1:18" x14ac:dyDescent="0.3">
      <c r="O113" s="151"/>
      <c r="P113" s="151"/>
      <c r="Q113" s="151"/>
      <c r="R113" s="151"/>
    </row>
    <row r="114" spans="1:18" x14ac:dyDescent="0.3">
      <c r="A114" s="167" t="s">
        <v>13</v>
      </c>
      <c r="O114" s="151"/>
      <c r="P114" s="151"/>
      <c r="Q114" s="151"/>
      <c r="R114" s="151"/>
    </row>
    <row r="115" spans="1:18" x14ac:dyDescent="0.3">
      <c r="A115" s="155" t="s">
        <v>243</v>
      </c>
      <c r="O115" s="151"/>
      <c r="P115" s="151"/>
      <c r="Q115" s="151"/>
      <c r="R115" s="151"/>
    </row>
    <row r="116" spans="1:18" x14ac:dyDescent="0.3">
      <c r="A116" s="150"/>
    </row>
    <row r="117" spans="1:18" x14ac:dyDescent="0.3">
      <c r="A117" s="150"/>
    </row>
    <row r="118" spans="1:18" x14ac:dyDescent="0.3">
      <c r="A118" s="5" t="s">
        <v>187</v>
      </c>
    </row>
    <row r="119" spans="1:18" x14ac:dyDescent="0.3">
      <c r="A119" s="168" t="s">
        <v>184</v>
      </c>
      <c r="B119" s="169"/>
      <c r="C119" s="169"/>
      <c r="D119" s="169"/>
      <c r="E119" s="169"/>
      <c r="F119" s="169"/>
      <c r="G119" s="169"/>
      <c r="H119" s="169"/>
      <c r="I119" s="169"/>
      <c r="J119" s="169"/>
      <c r="K119" s="169"/>
      <c r="L119" s="169"/>
      <c r="M119" s="169"/>
    </row>
    <row r="120" spans="1:18" x14ac:dyDescent="0.3">
      <c r="A120" s="168"/>
      <c r="B120" s="169"/>
      <c r="C120" s="169"/>
      <c r="D120" s="169"/>
      <c r="E120" s="169"/>
      <c r="F120" s="169"/>
      <c r="G120" s="169"/>
      <c r="H120" s="169"/>
      <c r="I120" s="169"/>
      <c r="J120" s="169"/>
      <c r="K120" s="169"/>
      <c r="L120" s="169"/>
      <c r="M120" s="169"/>
    </row>
    <row r="121" spans="1:18" x14ac:dyDescent="0.3">
      <c r="A121" s="170" t="s">
        <v>178</v>
      </c>
      <c r="B121" s="171" t="s">
        <v>179</v>
      </c>
      <c r="E121" s="169"/>
      <c r="F121" s="169"/>
      <c r="G121" s="169"/>
      <c r="H121" s="169"/>
      <c r="I121" s="169"/>
      <c r="J121" s="169"/>
      <c r="K121" s="169"/>
      <c r="L121" s="169"/>
      <c r="M121" s="169"/>
    </row>
    <row r="122" spans="1:18" x14ac:dyDescent="0.3">
      <c r="E122" s="169"/>
      <c r="F122" s="169"/>
      <c r="G122" s="169"/>
      <c r="H122" s="169"/>
      <c r="I122" s="169"/>
      <c r="J122" s="169"/>
      <c r="K122" s="169"/>
      <c r="L122" s="169"/>
      <c r="M122" s="169"/>
    </row>
    <row r="123" spans="1:18" x14ac:dyDescent="0.3">
      <c r="E123" s="169"/>
      <c r="F123" s="169"/>
      <c r="G123" s="169"/>
      <c r="H123" s="169"/>
      <c r="I123" s="169"/>
      <c r="J123" s="169"/>
      <c r="K123" s="169"/>
      <c r="L123" s="169"/>
      <c r="M123" s="169"/>
    </row>
    <row r="124" spans="1:18" x14ac:dyDescent="0.3">
      <c r="A124" s="102"/>
      <c r="B124" s="102"/>
      <c r="C124" s="13" t="s">
        <v>54</v>
      </c>
      <c r="D124" s="13"/>
      <c r="E124" s="13"/>
      <c r="F124" s="13"/>
      <c r="G124" s="13"/>
      <c r="H124" s="13"/>
      <c r="I124" s="169"/>
    </row>
    <row r="125" spans="1:18" x14ac:dyDescent="0.3">
      <c r="A125" s="24" t="s">
        <v>10</v>
      </c>
      <c r="B125" s="24"/>
      <c r="C125" s="7" t="s">
        <v>55</v>
      </c>
      <c r="D125" s="7" t="s">
        <v>367</v>
      </c>
      <c r="E125" s="7" t="s">
        <v>34</v>
      </c>
      <c r="F125" s="7" t="s">
        <v>35</v>
      </c>
      <c r="G125" s="7" t="s">
        <v>33</v>
      </c>
      <c r="H125" s="7" t="s">
        <v>56</v>
      </c>
      <c r="I125" s="169"/>
    </row>
    <row r="126" spans="1:18" x14ac:dyDescent="0.3">
      <c r="A126" s="102">
        <v>1</v>
      </c>
      <c r="B126" s="102"/>
      <c r="C126" s="27">
        <f t="shared" ref="C126:H135" si="19">IF($B$121="Percentile",C80,C102)</f>
        <v>0</v>
      </c>
      <c r="D126" s="27">
        <f t="shared" si="19"/>
        <v>4.4439163867565049E-4</v>
      </c>
      <c r="E126" s="27">
        <f t="shared" si="19"/>
        <v>4.4621967879078707E-4</v>
      </c>
      <c r="F126" s="27">
        <f t="shared" si="19"/>
        <v>4.2546040926745002E-4</v>
      </c>
      <c r="G126" s="27">
        <f t="shared" si="19"/>
        <v>1.2711603142548796E-3</v>
      </c>
      <c r="H126" s="27">
        <f t="shared" si="19"/>
        <v>3.8079976962412465E-3</v>
      </c>
      <c r="I126" s="169"/>
      <c r="N126" s="169" t="s">
        <v>179</v>
      </c>
    </row>
    <row r="127" spans="1:18" x14ac:dyDescent="0.3">
      <c r="A127" s="102">
        <f>+A126+1</f>
        <v>2</v>
      </c>
      <c r="B127" s="102"/>
      <c r="C127" s="27">
        <f t="shared" si="19"/>
        <v>0</v>
      </c>
      <c r="D127" s="27">
        <f t="shared" si="19"/>
        <v>1.0963998151722828E-3</v>
      </c>
      <c r="E127" s="27">
        <f t="shared" si="19"/>
        <v>4.5193489936027411E-4</v>
      </c>
      <c r="F127" s="27">
        <f t="shared" si="19"/>
        <v>1.3147463740944023E-3</v>
      </c>
      <c r="G127" s="27">
        <f t="shared" si="19"/>
        <v>3.365669343455805E-3</v>
      </c>
      <c r="H127" s="27">
        <f t="shared" si="19"/>
        <v>9.5688597728990268E-3</v>
      </c>
      <c r="I127" s="169"/>
      <c r="N127" t="s">
        <v>180</v>
      </c>
    </row>
    <row r="128" spans="1:18" x14ac:dyDescent="0.3">
      <c r="A128" s="102">
        <f t="shared" ref="A128:A135" si="20">+A127+1</f>
        <v>3</v>
      </c>
      <c r="B128" s="102"/>
      <c r="C128" s="27">
        <f t="shared" si="19"/>
        <v>0</v>
      </c>
      <c r="D128" s="27">
        <f t="shared" si="19"/>
        <v>2.3532636253393753E-3</v>
      </c>
      <c r="E128" s="27">
        <f t="shared" si="19"/>
        <v>1.5909044113317442E-3</v>
      </c>
      <c r="F128" s="27">
        <f t="shared" si="19"/>
        <v>2.5848941820924239E-3</v>
      </c>
      <c r="G128" s="27">
        <f t="shared" si="19"/>
        <v>6.2506615810968471E-3</v>
      </c>
      <c r="H128" s="27">
        <f t="shared" si="19"/>
        <v>1.5445350540118708E-2</v>
      </c>
      <c r="I128" s="169"/>
    </row>
    <row r="129" spans="1:13" x14ac:dyDescent="0.3">
      <c r="A129" s="102">
        <f t="shared" si="20"/>
        <v>4</v>
      </c>
      <c r="B129" s="102"/>
      <c r="C129" s="27">
        <f t="shared" si="19"/>
        <v>0</v>
      </c>
      <c r="D129" s="27">
        <f t="shared" si="19"/>
        <v>4.2508852274774616E-3</v>
      </c>
      <c r="E129" s="27">
        <f t="shared" si="19"/>
        <v>3.0575208186027557E-3</v>
      </c>
      <c r="F129" s="27">
        <f t="shared" si="19"/>
        <v>4.6315778326241749E-3</v>
      </c>
      <c r="G129" s="27">
        <f t="shared" si="19"/>
        <v>9.527773060855246E-3</v>
      </c>
      <c r="H129" s="27">
        <f t="shared" si="19"/>
        <v>2.2648523975402655E-2</v>
      </c>
      <c r="I129" s="169"/>
    </row>
    <row r="130" spans="1:13" x14ac:dyDescent="0.3">
      <c r="A130" s="102">
        <f t="shared" si="20"/>
        <v>5</v>
      </c>
      <c r="B130" s="102"/>
      <c r="C130" s="27">
        <f t="shared" si="19"/>
        <v>0</v>
      </c>
      <c r="D130" s="27">
        <f t="shared" si="19"/>
        <v>6.3703144554743078E-3</v>
      </c>
      <c r="E130" s="27">
        <f t="shared" si="19"/>
        <v>4.8545257094610821E-3</v>
      </c>
      <c r="F130" s="27">
        <f t="shared" si="19"/>
        <v>6.8567379260360438E-3</v>
      </c>
      <c r="G130" s="27">
        <f t="shared" si="19"/>
        <v>1.2942103282711538E-2</v>
      </c>
      <c r="H130" s="27">
        <f t="shared" si="19"/>
        <v>2.9511195727944591E-2</v>
      </c>
      <c r="I130" s="169"/>
    </row>
    <row r="131" spans="1:13" x14ac:dyDescent="0.3">
      <c r="A131" s="102">
        <f t="shared" si="20"/>
        <v>6</v>
      </c>
      <c r="B131" s="102"/>
      <c r="C131" s="27">
        <f t="shared" si="19"/>
        <v>0</v>
      </c>
      <c r="D131" s="27">
        <f t="shared" si="19"/>
        <v>8.4577073666459446E-3</v>
      </c>
      <c r="E131" s="27">
        <f t="shared" si="19"/>
        <v>6.5142107300133808E-3</v>
      </c>
      <c r="F131" s="27">
        <f t="shared" si="19"/>
        <v>9.0827334171830962E-3</v>
      </c>
      <c r="G131" s="27">
        <f t="shared" si="19"/>
        <v>1.6822459369031144E-2</v>
      </c>
      <c r="H131" s="27">
        <f t="shared" si="19"/>
        <v>3.5764617282303318E-2</v>
      </c>
      <c r="I131" s="169"/>
    </row>
    <row r="132" spans="1:13" x14ac:dyDescent="0.3">
      <c r="A132" s="102">
        <f t="shared" si="20"/>
        <v>7</v>
      </c>
      <c r="B132" s="102"/>
      <c r="C132" s="27">
        <f t="shared" si="19"/>
        <v>0</v>
      </c>
      <c r="D132" s="27">
        <f t="shared" si="19"/>
        <v>1.0271516829896367E-2</v>
      </c>
      <c r="E132" s="27">
        <f t="shared" si="19"/>
        <v>7.476145314859634E-3</v>
      </c>
      <c r="F132" s="27">
        <f t="shared" si="19"/>
        <v>1.1198220514411718E-2</v>
      </c>
      <c r="G132" s="27">
        <f t="shared" si="19"/>
        <v>2.1041623879994791E-2</v>
      </c>
      <c r="H132" s="27">
        <f t="shared" si="19"/>
        <v>4.0861574232849578E-2</v>
      </c>
      <c r="I132" s="169"/>
    </row>
    <row r="133" spans="1:13" x14ac:dyDescent="0.3">
      <c r="A133" s="102">
        <f t="shared" si="20"/>
        <v>8</v>
      </c>
      <c r="B133" s="102"/>
      <c r="C133" s="27">
        <f t="shared" si="19"/>
        <v>0</v>
      </c>
      <c r="D133" s="27">
        <f t="shared" si="19"/>
        <v>1.1794670564047397E-2</v>
      </c>
      <c r="E133" s="27">
        <f t="shared" si="19"/>
        <v>8.830980885120342E-3</v>
      </c>
      <c r="F133" s="27">
        <f t="shared" si="19"/>
        <v>1.2741992443194832E-2</v>
      </c>
      <c r="G133" s="27">
        <f t="shared" si="19"/>
        <v>2.4814069511558699E-2</v>
      </c>
      <c r="H133" s="27">
        <f t="shared" si="19"/>
        <v>4.6169157811348491E-2</v>
      </c>
      <c r="I133" s="169"/>
    </row>
    <row r="134" spans="1:13" x14ac:dyDescent="0.3">
      <c r="A134" s="102">
        <f t="shared" si="20"/>
        <v>9</v>
      </c>
      <c r="B134" s="102"/>
      <c r="C134" s="27">
        <f t="shared" si="19"/>
        <v>0</v>
      </c>
      <c r="D134" s="27">
        <f t="shared" si="19"/>
        <v>1.2942087780600844E-2</v>
      </c>
      <c r="E134" s="27">
        <f t="shared" si="19"/>
        <v>9.6676408547989052E-3</v>
      </c>
      <c r="F134" s="27">
        <f t="shared" si="19"/>
        <v>1.3957656484115906E-2</v>
      </c>
      <c r="G134" s="27">
        <f t="shared" si="19"/>
        <v>2.8741002484526632E-2</v>
      </c>
      <c r="H134" s="27">
        <f t="shared" si="19"/>
        <v>5.1904427151418513E-2</v>
      </c>
      <c r="I134" s="169"/>
    </row>
    <row r="135" spans="1:13" x14ac:dyDescent="0.3">
      <c r="A135" s="102">
        <f t="shared" si="20"/>
        <v>10</v>
      </c>
      <c r="B135" s="102"/>
      <c r="C135" s="27">
        <f t="shared" si="19"/>
        <v>0</v>
      </c>
      <c r="D135" s="27">
        <f t="shared" si="19"/>
        <v>1.4285605410197293E-2</v>
      </c>
      <c r="E135" s="27">
        <f t="shared" si="19"/>
        <v>1.0815748223540641E-2</v>
      </c>
      <c r="F135" s="27">
        <f t="shared" si="19"/>
        <v>1.5337248862111035E-2</v>
      </c>
      <c r="G135" s="27">
        <f t="shared" si="19"/>
        <v>3.2143568625890996E-2</v>
      </c>
      <c r="H135" s="27">
        <f t="shared" si="19"/>
        <v>5.6675083316482022E-2</v>
      </c>
      <c r="I135" s="169"/>
    </row>
    <row r="136" spans="1:13" x14ac:dyDescent="0.3">
      <c r="A136" s="8"/>
      <c r="B136" s="8"/>
      <c r="C136" s="75"/>
      <c r="D136" s="75"/>
      <c r="E136" s="75"/>
      <c r="F136" s="75"/>
      <c r="G136" s="75"/>
      <c r="H136" s="75"/>
      <c r="I136" s="169"/>
    </row>
    <row r="137" spans="1:13" x14ac:dyDescent="0.3">
      <c r="I137" s="169"/>
    </row>
    <row r="138" spans="1:13" x14ac:dyDescent="0.3">
      <c r="A138" s="167" t="s">
        <v>13</v>
      </c>
    </row>
    <row r="139" spans="1:13" x14ac:dyDescent="0.3">
      <c r="A139" s="155" t="s">
        <v>241</v>
      </c>
    </row>
    <row r="140" spans="1:13" x14ac:dyDescent="0.3">
      <c r="A140" s="155" t="s">
        <v>185</v>
      </c>
    </row>
    <row r="141" spans="1:13" x14ac:dyDescent="0.3">
      <c r="A141" s="150"/>
    </row>
    <row r="142" spans="1:13" x14ac:dyDescent="0.3">
      <c r="A142" s="150"/>
    </row>
    <row r="143" spans="1:13" x14ac:dyDescent="0.3">
      <c r="A143" s="5" t="s">
        <v>110</v>
      </c>
    </row>
    <row r="144" spans="1:13" x14ac:dyDescent="0.3">
      <c r="A144" s="168" t="s">
        <v>232</v>
      </c>
      <c r="B144" s="169"/>
      <c r="C144" s="169"/>
      <c r="D144" s="169"/>
      <c r="E144" s="169"/>
      <c r="F144" s="169"/>
      <c r="G144" s="169"/>
      <c r="H144" s="169"/>
      <c r="I144" s="169"/>
      <c r="J144" s="169"/>
      <c r="K144" s="169"/>
      <c r="L144" s="169"/>
      <c r="M144" s="169"/>
    </row>
    <row r="145" spans="1:13" x14ac:dyDescent="0.3">
      <c r="E145" s="169"/>
      <c r="F145" s="169"/>
      <c r="G145" s="169"/>
      <c r="H145" s="169"/>
      <c r="I145" s="169"/>
      <c r="J145" s="169"/>
      <c r="K145" s="169"/>
      <c r="L145" s="169"/>
      <c r="M145" s="169"/>
    </row>
    <row r="146" spans="1:13" x14ac:dyDescent="0.3">
      <c r="E146" s="169"/>
      <c r="F146" s="169"/>
      <c r="G146" s="169"/>
      <c r="H146" s="169"/>
      <c r="I146" s="169"/>
      <c r="J146" s="169"/>
      <c r="K146" s="169"/>
      <c r="L146" s="169"/>
      <c r="M146" s="169"/>
    </row>
    <row r="147" spans="1:13" x14ac:dyDescent="0.3">
      <c r="A147" s="102"/>
      <c r="B147" s="102"/>
      <c r="C147" s="13" t="s">
        <v>54</v>
      </c>
      <c r="D147" s="13"/>
      <c r="E147" s="13"/>
      <c r="F147" s="13"/>
      <c r="G147" s="13"/>
      <c r="H147" s="13"/>
      <c r="I147" s="169"/>
      <c r="K147" s="169"/>
    </row>
    <row r="148" spans="1:13" x14ac:dyDescent="0.3">
      <c r="A148" s="24" t="s">
        <v>10</v>
      </c>
      <c r="B148" s="24"/>
      <c r="C148" s="7" t="s">
        <v>55</v>
      </c>
      <c r="D148" s="7" t="s">
        <v>367</v>
      </c>
      <c r="E148" s="7" t="s">
        <v>34</v>
      </c>
      <c r="F148" s="7" t="s">
        <v>35</v>
      </c>
      <c r="G148" s="7" t="s">
        <v>33</v>
      </c>
      <c r="H148" s="7" t="s">
        <v>56</v>
      </c>
      <c r="I148" s="169"/>
      <c r="K148" s="169"/>
    </row>
    <row r="149" spans="1:13" x14ac:dyDescent="0.3">
      <c r="A149" s="102">
        <v>1</v>
      </c>
      <c r="B149" s="102"/>
      <c r="C149" s="27">
        <f>C126</f>
        <v>0</v>
      </c>
      <c r="D149" s="27">
        <f t="shared" ref="D149:H149" si="21">D126</f>
        <v>4.4439163867565049E-4</v>
      </c>
      <c r="E149" s="27">
        <f t="shared" si="21"/>
        <v>4.4621967879078707E-4</v>
      </c>
      <c r="F149" s="27">
        <f t="shared" si="21"/>
        <v>4.2546040926745002E-4</v>
      </c>
      <c r="G149" s="27">
        <f t="shared" si="21"/>
        <v>1.2711603142548796E-3</v>
      </c>
      <c r="H149" s="27">
        <f t="shared" si="21"/>
        <v>3.8079976962412465E-3</v>
      </c>
      <c r="I149" s="169"/>
      <c r="K149" s="169"/>
    </row>
    <row r="150" spans="1:13" x14ac:dyDescent="0.3">
      <c r="A150" s="102">
        <f>+A149+1</f>
        <v>2</v>
      </c>
      <c r="B150" s="102"/>
      <c r="C150" s="27">
        <f t="shared" ref="C150:H158" si="22">C127-C126</f>
        <v>0</v>
      </c>
      <c r="D150" s="27">
        <f t="shared" si="22"/>
        <v>6.5200817649663234E-4</v>
      </c>
      <c r="E150" s="27">
        <f t="shared" si="22"/>
        <v>5.7152205694870409E-6</v>
      </c>
      <c r="F150" s="27">
        <f t="shared" si="22"/>
        <v>8.8928596482695224E-4</v>
      </c>
      <c r="G150" s="27">
        <f t="shared" si="22"/>
        <v>2.0945090292009251E-3</v>
      </c>
      <c r="H150" s="27">
        <f t="shared" si="22"/>
        <v>5.7608620766577802E-3</v>
      </c>
      <c r="I150" s="169"/>
      <c r="K150" s="169"/>
    </row>
    <row r="151" spans="1:13" x14ac:dyDescent="0.3">
      <c r="A151" s="102">
        <f t="shared" ref="A151:A158" si="23">+A150+1</f>
        <v>3</v>
      </c>
      <c r="B151" s="102"/>
      <c r="C151" s="27">
        <f t="shared" si="22"/>
        <v>0</v>
      </c>
      <c r="D151" s="27">
        <f t="shared" si="22"/>
        <v>1.2568638101670925E-3</v>
      </c>
      <c r="E151" s="27">
        <f t="shared" si="22"/>
        <v>1.1389695119714701E-3</v>
      </c>
      <c r="F151" s="27">
        <f t="shared" si="22"/>
        <v>1.2701478079980217E-3</v>
      </c>
      <c r="G151" s="27">
        <f t="shared" si="22"/>
        <v>2.8849922376410421E-3</v>
      </c>
      <c r="H151" s="27">
        <f t="shared" si="22"/>
        <v>5.8764907672196817E-3</v>
      </c>
      <c r="I151" s="169"/>
      <c r="K151" s="169"/>
    </row>
    <row r="152" spans="1:13" x14ac:dyDescent="0.3">
      <c r="A152" s="102">
        <f t="shared" si="23"/>
        <v>4</v>
      </c>
      <c r="B152" s="102"/>
      <c r="C152" s="27">
        <f t="shared" si="22"/>
        <v>0</v>
      </c>
      <c r="D152" s="27">
        <f t="shared" si="22"/>
        <v>1.8976216021380863E-3</v>
      </c>
      <c r="E152" s="27">
        <f t="shared" si="22"/>
        <v>1.4666164072710114E-3</v>
      </c>
      <c r="F152" s="27">
        <f t="shared" si="22"/>
        <v>2.046683650531751E-3</v>
      </c>
      <c r="G152" s="27">
        <f t="shared" si="22"/>
        <v>3.2771114797583989E-3</v>
      </c>
      <c r="H152" s="27">
        <f t="shared" si="22"/>
        <v>7.2031734352839463E-3</v>
      </c>
      <c r="I152" s="169"/>
    </row>
    <row r="153" spans="1:13" x14ac:dyDescent="0.3">
      <c r="A153" s="102">
        <f t="shared" si="23"/>
        <v>5</v>
      </c>
      <c r="B153" s="102"/>
      <c r="C153" s="27">
        <f t="shared" si="22"/>
        <v>0</v>
      </c>
      <c r="D153" s="27">
        <f t="shared" si="22"/>
        <v>2.1194292279968462E-3</v>
      </c>
      <c r="E153" s="27">
        <f t="shared" si="22"/>
        <v>1.7970048908583264E-3</v>
      </c>
      <c r="F153" s="27">
        <f t="shared" si="22"/>
        <v>2.2251600934118689E-3</v>
      </c>
      <c r="G153" s="27">
        <f t="shared" si="22"/>
        <v>3.4143302218562922E-3</v>
      </c>
      <c r="H153" s="27">
        <f t="shared" si="22"/>
        <v>6.8626717525419358E-3</v>
      </c>
      <c r="I153" s="169"/>
    </row>
    <row r="154" spans="1:13" x14ac:dyDescent="0.3">
      <c r="A154" s="102">
        <f t="shared" si="23"/>
        <v>6</v>
      </c>
      <c r="B154" s="102"/>
      <c r="C154" s="27">
        <f t="shared" si="22"/>
        <v>0</v>
      </c>
      <c r="D154" s="27">
        <f t="shared" si="22"/>
        <v>2.0873929111716368E-3</v>
      </c>
      <c r="E154" s="27">
        <f t="shared" si="22"/>
        <v>1.6596850205522987E-3</v>
      </c>
      <c r="F154" s="27">
        <f t="shared" si="22"/>
        <v>2.2259954911470524E-3</v>
      </c>
      <c r="G154" s="27">
        <f t="shared" si="22"/>
        <v>3.8803560863196057E-3</v>
      </c>
      <c r="H154" s="27">
        <f t="shared" si="22"/>
        <v>6.2534215543587277E-3</v>
      </c>
      <c r="I154" s="169"/>
    </row>
    <row r="155" spans="1:13" x14ac:dyDescent="0.3">
      <c r="A155" s="102">
        <f t="shared" si="23"/>
        <v>7</v>
      </c>
      <c r="B155" s="102"/>
      <c r="C155" s="27">
        <f t="shared" si="22"/>
        <v>0</v>
      </c>
      <c r="D155" s="27">
        <f t="shared" si="22"/>
        <v>1.813809463250422E-3</v>
      </c>
      <c r="E155" s="27">
        <f t="shared" si="22"/>
        <v>9.6193458484625325E-4</v>
      </c>
      <c r="F155" s="27">
        <f t="shared" si="22"/>
        <v>2.115487097228622E-3</v>
      </c>
      <c r="G155" s="27">
        <f t="shared" si="22"/>
        <v>4.2191645109636473E-3</v>
      </c>
      <c r="H155" s="27">
        <f t="shared" si="22"/>
        <v>5.0969569505462595E-3</v>
      </c>
      <c r="I155" s="169"/>
    </row>
    <row r="156" spans="1:13" x14ac:dyDescent="0.3">
      <c r="A156" s="102">
        <f t="shared" si="23"/>
        <v>8</v>
      </c>
      <c r="B156" s="102"/>
      <c r="C156" s="27">
        <f t="shared" si="22"/>
        <v>0</v>
      </c>
      <c r="D156" s="27">
        <f t="shared" si="22"/>
        <v>1.5231537341510309E-3</v>
      </c>
      <c r="E156" s="27">
        <f t="shared" si="22"/>
        <v>1.354835570260708E-3</v>
      </c>
      <c r="F156" s="27">
        <f t="shared" si="22"/>
        <v>1.543771928783114E-3</v>
      </c>
      <c r="G156" s="27">
        <f t="shared" si="22"/>
        <v>3.7724456315639081E-3</v>
      </c>
      <c r="H156" s="27">
        <f t="shared" si="22"/>
        <v>5.3075835784989131E-3</v>
      </c>
      <c r="I156" s="169"/>
    </row>
    <row r="157" spans="1:13" x14ac:dyDescent="0.3">
      <c r="A157" s="102">
        <f t="shared" si="23"/>
        <v>9</v>
      </c>
      <c r="B157" s="102"/>
      <c r="C157" s="27">
        <f t="shared" si="22"/>
        <v>0</v>
      </c>
      <c r="D157" s="27">
        <f t="shared" si="22"/>
        <v>1.1474172165534466E-3</v>
      </c>
      <c r="E157" s="27">
        <f t="shared" si="22"/>
        <v>8.3665996967856315E-4</v>
      </c>
      <c r="F157" s="27">
        <f t="shared" si="22"/>
        <v>1.2156640409210738E-3</v>
      </c>
      <c r="G157" s="27">
        <f t="shared" si="22"/>
        <v>3.9269329729679329E-3</v>
      </c>
      <c r="H157" s="27">
        <f t="shared" si="22"/>
        <v>5.7352693400700219E-3</v>
      </c>
      <c r="I157" s="169"/>
    </row>
    <row r="158" spans="1:13" x14ac:dyDescent="0.3">
      <c r="A158" s="102">
        <f t="shared" si="23"/>
        <v>10</v>
      </c>
      <c r="B158" s="102"/>
      <c r="C158" s="27">
        <f t="shared" si="22"/>
        <v>0</v>
      </c>
      <c r="D158" s="27">
        <f t="shared" si="22"/>
        <v>1.3435176295964486E-3</v>
      </c>
      <c r="E158" s="27">
        <f t="shared" si="22"/>
        <v>1.1481073687417357E-3</v>
      </c>
      <c r="F158" s="27">
        <f t="shared" si="22"/>
        <v>1.3795923779951289E-3</v>
      </c>
      <c r="G158" s="27">
        <f t="shared" si="22"/>
        <v>3.4025661413643639E-3</v>
      </c>
      <c r="H158" s="27">
        <f t="shared" si="22"/>
        <v>4.7706561650635096E-3</v>
      </c>
      <c r="I158" s="169"/>
    </row>
    <row r="159" spans="1:13" x14ac:dyDescent="0.3">
      <c r="A159" s="8"/>
      <c r="B159" s="8"/>
      <c r="C159" s="75"/>
      <c r="D159" s="75"/>
      <c r="E159" s="75"/>
      <c r="F159" s="75"/>
      <c r="G159" s="75"/>
      <c r="H159" s="75"/>
      <c r="I159" s="169"/>
    </row>
    <row r="160" spans="1:13" x14ac:dyDescent="0.3">
      <c r="I160" s="169"/>
    </row>
    <row r="161" spans="1:47" x14ac:dyDescent="0.3">
      <c r="A161" s="167" t="s">
        <v>13</v>
      </c>
    </row>
    <row r="162" spans="1:47" x14ac:dyDescent="0.3">
      <c r="A162" s="155" t="s">
        <v>188</v>
      </c>
    </row>
    <row r="163" spans="1:47" x14ac:dyDescent="0.3">
      <c r="A163" s="150"/>
    </row>
    <row r="164" spans="1:47" x14ac:dyDescent="0.3">
      <c r="A164" s="150"/>
    </row>
    <row r="165" spans="1:47" x14ac:dyDescent="0.3">
      <c r="A165" s="5" t="s">
        <v>111</v>
      </c>
    </row>
    <row r="166" spans="1:47" x14ac:dyDescent="0.3">
      <c r="A166" s="5" t="s">
        <v>61</v>
      </c>
    </row>
    <row r="167" spans="1:47" x14ac:dyDescent="0.3">
      <c r="A167" s="5"/>
    </row>
    <row r="168" spans="1:47" x14ac:dyDescent="0.3">
      <c r="I168" s="3" t="s">
        <v>175</v>
      </c>
    </row>
    <row r="169" spans="1:47" x14ac:dyDescent="0.3">
      <c r="A169" s="102" t="s">
        <v>5</v>
      </c>
      <c r="B169" s="102" t="s">
        <v>58</v>
      </c>
      <c r="C169" s="13" t="s">
        <v>54</v>
      </c>
      <c r="D169" s="13"/>
      <c r="E169" s="13"/>
      <c r="F169" s="13"/>
      <c r="G169" s="13"/>
      <c r="H169" s="13"/>
      <c r="I169" s="3" t="s">
        <v>114</v>
      </c>
      <c r="K169" s="3"/>
    </row>
    <row r="170" spans="1:47" x14ac:dyDescent="0.3">
      <c r="A170" s="24" t="s">
        <v>57</v>
      </c>
      <c r="B170" s="24" t="s">
        <v>59</v>
      </c>
      <c r="C170" s="7" t="s">
        <v>55</v>
      </c>
      <c r="D170" s="7" t="s">
        <v>367</v>
      </c>
      <c r="E170" s="7" t="s">
        <v>34</v>
      </c>
      <c r="F170" s="7" t="s">
        <v>35</v>
      </c>
      <c r="G170" s="7" t="s">
        <v>33</v>
      </c>
      <c r="H170" s="7" t="s">
        <v>56</v>
      </c>
      <c r="I170" s="7" t="s">
        <v>41</v>
      </c>
      <c r="K170" s="3"/>
    </row>
    <row r="171" spans="1:47" x14ac:dyDescent="0.3">
      <c r="A171" s="102">
        <f>$A$24</f>
        <v>2023</v>
      </c>
      <c r="B171" s="102">
        <v>0.5</v>
      </c>
      <c r="C171" s="27">
        <f t="shared" ref="C171:C180" si="24">C24</f>
        <v>1.78923E-2</v>
      </c>
      <c r="D171" s="26">
        <v>1.908535659313202E-2</v>
      </c>
      <c r="E171" s="26">
        <v>2.2209033370018012E-2</v>
      </c>
      <c r="F171" s="26">
        <v>2.1768888831138616E-2</v>
      </c>
      <c r="G171" s="26">
        <v>2.8941014409065248E-2</v>
      </c>
      <c r="H171" s="26">
        <v>2.2752758860588081E-2</v>
      </c>
      <c r="I171" s="27">
        <f>SUMPRODUCT($C$13:$H$13,C171:H171)</f>
        <v>2.4161051511764533E-2</v>
      </c>
      <c r="K171" s="27"/>
      <c r="L171" s="151"/>
      <c r="M171" s="151"/>
    </row>
    <row r="172" spans="1:47" x14ac:dyDescent="0.3">
      <c r="A172" s="102">
        <f>+A171+1</f>
        <v>2024</v>
      </c>
      <c r="B172" s="102">
        <f>+B171+1</f>
        <v>1.5</v>
      </c>
      <c r="C172" s="27">
        <f t="shared" si="24"/>
        <v>1.8510928750038153E-2</v>
      </c>
      <c r="D172" s="26">
        <v>2.0123836398124696E-2</v>
      </c>
      <c r="E172" s="26">
        <v>2.2633835673332218E-2</v>
      </c>
      <c r="F172" s="26">
        <v>2.4136117100715639E-2</v>
      </c>
      <c r="G172" s="26">
        <v>2.642411291599274E-2</v>
      </c>
      <c r="H172" s="26">
        <v>2.553646266460419E-2</v>
      </c>
      <c r="I172" s="27">
        <f t="shared" ref="I172:I180" si="25">SUMPRODUCT($C$13:$H$13,C172:H172)</f>
        <v>2.5131671547889711E-2</v>
      </c>
      <c r="K172" s="27"/>
      <c r="L172" s="151"/>
      <c r="M172" s="151"/>
    </row>
    <row r="173" spans="1:47" x14ac:dyDescent="0.3">
      <c r="A173" s="102">
        <f t="shared" ref="A173:B180" si="26">+A172+1</f>
        <v>2025</v>
      </c>
      <c r="B173" s="102">
        <f t="shared" si="26"/>
        <v>2.5</v>
      </c>
      <c r="C173" s="27">
        <f t="shared" si="24"/>
        <v>1.887854635715485E-2</v>
      </c>
      <c r="D173" s="26">
        <v>2.1225807070732117E-2</v>
      </c>
      <c r="E173" s="26">
        <v>2.2359785437583931E-2</v>
      </c>
      <c r="F173" s="26">
        <v>2.5204446911811829E-2</v>
      </c>
      <c r="G173" s="26">
        <v>2.756803929805756E-2</v>
      </c>
      <c r="H173" s="26">
        <v>2.7215245366096492E-2</v>
      </c>
      <c r="I173" s="27">
        <f t="shared" si="25"/>
        <v>2.6314012706279755E-2</v>
      </c>
      <c r="K173" s="27"/>
      <c r="L173" s="151"/>
      <c r="M173" s="151"/>
    </row>
    <row r="174" spans="1:47" x14ac:dyDescent="0.3">
      <c r="A174" s="102">
        <f t="shared" si="26"/>
        <v>2026</v>
      </c>
      <c r="B174" s="102">
        <f t="shared" si="26"/>
        <v>3.5</v>
      </c>
      <c r="C174" s="27">
        <f t="shared" si="24"/>
        <v>1.9069817662239075E-2</v>
      </c>
      <c r="D174" s="26">
        <v>2.2469744086265567E-2</v>
      </c>
      <c r="E174" s="26">
        <v>2.2956612706184387E-2</v>
      </c>
      <c r="F174" s="26">
        <v>2.6742509007453921E-2</v>
      </c>
      <c r="G174" s="26">
        <v>2.8334537148475648E-2</v>
      </c>
      <c r="H174" s="26">
        <v>2.9492631554603573E-2</v>
      </c>
      <c r="I174" s="27">
        <f t="shared" si="25"/>
        <v>2.7810089111328123E-2</v>
      </c>
      <c r="K174" s="27"/>
      <c r="L174" s="151"/>
      <c r="M174" s="151"/>
    </row>
    <row r="175" spans="1:47" x14ac:dyDescent="0.3">
      <c r="A175" s="102">
        <f t="shared" si="26"/>
        <v>2027</v>
      </c>
      <c r="B175" s="102">
        <f t="shared" si="26"/>
        <v>4.5</v>
      </c>
      <c r="C175" s="27">
        <f t="shared" si="24"/>
        <v>1.9336262345314031E-2</v>
      </c>
      <c r="D175" s="26">
        <v>2.3059621453285217E-2</v>
      </c>
      <c r="E175" s="26">
        <v>2.4448004364967343E-2</v>
      </c>
      <c r="F175" s="26">
        <v>2.7914515137672423E-2</v>
      </c>
      <c r="G175" s="26">
        <v>2.8706774115562442E-2</v>
      </c>
      <c r="H175" s="26">
        <v>2.9574105143547056E-2</v>
      </c>
      <c r="I175" s="27">
        <f t="shared" si="25"/>
        <v>2.8405218183994295E-2</v>
      </c>
      <c r="K175" s="27"/>
      <c r="L175" s="151"/>
      <c r="M175" s="151"/>
    </row>
    <row r="176" spans="1:47" x14ac:dyDescent="0.3">
      <c r="A176" s="102">
        <f t="shared" si="26"/>
        <v>2028</v>
      </c>
      <c r="B176" s="102">
        <f t="shared" si="26"/>
        <v>5.5</v>
      </c>
      <c r="C176" s="27">
        <f t="shared" si="24"/>
        <v>1.9130775332450872E-2</v>
      </c>
      <c r="D176" s="26">
        <v>2.4181595444679259E-2</v>
      </c>
      <c r="E176" s="26">
        <v>2.5798532366752631E-2</v>
      </c>
      <c r="F176" s="26">
        <v>2.7187243103981018E-2</v>
      </c>
      <c r="G176" s="26">
        <v>2.8537419438362119E-2</v>
      </c>
      <c r="H176" s="26">
        <v>3.1363424658775327E-2</v>
      </c>
      <c r="I176" s="27">
        <f t="shared" si="25"/>
        <v>2.8901972055435179E-2</v>
      </c>
      <c r="K176" s="27"/>
      <c r="L176" s="151"/>
      <c r="M176" s="151"/>
      <c r="O176" s="151"/>
      <c r="P176" s="151"/>
      <c r="AQ176" t="s">
        <v>96</v>
      </c>
      <c r="AR176" s="26">
        <v>0</v>
      </c>
      <c r="AS176" s="26">
        <v>2.0000000000000001E-4</v>
      </c>
      <c r="AT176" s="26">
        <v>5.9999999999999995E-4</v>
      </c>
      <c r="AU176" s="26">
        <v>1.6999999999999999E-3</v>
      </c>
    </row>
    <row r="177" spans="1:47" x14ac:dyDescent="0.3">
      <c r="A177" s="102">
        <f t="shared" si="26"/>
        <v>2029</v>
      </c>
      <c r="B177" s="102">
        <f t="shared" si="26"/>
        <v>6.5</v>
      </c>
      <c r="C177" s="27">
        <f t="shared" si="24"/>
        <v>1.9396647810935978E-2</v>
      </c>
      <c r="D177" s="26">
        <v>2.493951618671417E-2</v>
      </c>
      <c r="E177" s="26">
        <v>2.523845136165619E-2</v>
      </c>
      <c r="F177" s="26">
        <v>2.7393946051597597E-2</v>
      </c>
      <c r="G177" s="26">
        <v>3.0942830443382266E-2</v>
      </c>
      <c r="H177" s="26">
        <v>3.2368561625480657E-2</v>
      </c>
      <c r="I177" s="27">
        <f t="shared" si="25"/>
        <v>2.9934754610061651E-2</v>
      </c>
      <c r="K177" s="27"/>
      <c r="L177" s="151"/>
      <c r="M177" s="151"/>
      <c r="N177" s="151"/>
      <c r="O177" s="151"/>
      <c r="P177" s="151"/>
      <c r="AQ177" t="s">
        <v>97</v>
      </c>
      <c r="AR177" s="26">
        <v>0</v>
      </c>
      <c r="AS177" s="26">
        <v>0</v>
      </c>
      <c r="AT177" s="26">
        <v>0</v>
      </c>
      <c r="AU177" s="26">
        <v>6.9999999999999999E-4</v>
      </c>
    </row>
    <row r="178" spans="1:47" x14ac:dyDescent="0.3">
      <c r="A178" s="102">
        <f t="shared" si="26"/>
        <v>2030</v>
      </c>
      <c r="B178" s="102">
        <f t="shared" si="26"/>
        <v>7.5</v>
      </c>
      <c r="C178" s="27">
        <f t="shared" si="24"/>
        <v>1.9353601336479193E-2</v>
      </c>
      <c r="D178" s="26">
        <v>2.5586476922035219E-2</v>
      </c>
      <c r="E178" s="26">
        <v>2.7344015240669251E-2</v>
      </c>
      <c r="F178" s="26">
        <v>2.7897039055824281E-2</v>
      </c>
      <c r="G178" s="26">
        <v>3.0320259928703307E-2</v>
      </c>
      <c r="H178" s="26">
        <v>3.2759961485862729E-2</v>
      </c>
      <c r="I178" s="27">
        <f t="shared" si="25"/>
        <v>3.0227791607379914E-2</v>
      </c>
      <c r="K178" s="27"/>
      <c r="L178" s="151"/>
      <c r="M178" s="151"/>
      <c r="N178" s="151"/>
      <c r="O178" s="151"/>
      <c r="P178" s="151"/>
      <c r="AR178" s="26"/>
      <c r="AS178" s="26"/>
      <c r="AT178" s="26"/>
      <c r="AU178" s="26"/>
    </row>
    <row r="179" spans="1:47" x14ac:dyDescent="0.3">
      <c r="A179" s="102">
        <f t="shared" si="26"/>
        <v>2031</v>
      </c>
      <c r="B179" s="102">
        <f t="shared" si="26"/>
        <v>8.5</v>
      </c>
      <c r="C179" s="27">
        <f t="shared" si="24"/>
        <v>1.9838258624076854E-2</v>
      </c>
      <c r="D179" s="26">
        <v>2.6440557837486271E-2</v>
      </c>
      <c r="E179" s="26">
        <v>2.7483281493186948E-2</v>
      </c>
      <c r="F179" s="26">
        <v>2.8740999102592476E-2</v>
      </c>
      <c r="G179" s="26">
        <v>3.0656227469444273E-2</v>
      </c>
      <c r="H179" s="26">
        <v>3.4656998515129087E-2</v>
      </c>
      <c r="I179" s="27">
        <f t="shared" si="25"/>
        <v>3.1234668254852296E-2</v>
      </c>
      <c r="K179" s="27"/>
      <c r="L179" s="151"/>
      <c r="M179" s="151"/>
      <c r="N179" s="151"/>
      <c r="O179" s="151"/>
      <c r="P179" s="151"/>
      <c r="AQ179" t="s">
        <v>98</v>
      </c>
      <c r="AR179" s="26">
        <v>0</v>
      </c>
      <c r="AS179" s="26">
        <v>6.9999999999999999E-4</v>
      </c>
      <c r="AT179" s="26">
        <v>1E-3</v>
      </c>
      <c r="AU179" s="26">
        <v>2.5999999999999999E-3</v>
      </c>
    </row>
    <row r="180" spans="1:47" x14ac:dyDescent="0.3">
      <c r="A180" s="102">
        <f t="shared" si="26"/>
        <v>2032</v>
      </c>
      <c r="B180" s="102">
        <f t="shared" si="26"/>
        <v>9.5</v>
      </c>
      <c r="C180" s="27">
        <f t="shared" si="24"/>
        <v>2.0092156529426579E-2</v>
      </c>
      <c r="D180" s="26">
        <v>2.6625588536262516E-2</v>
      </c>
      <c r="E180" s="186">
        <v>2.8001633286476139E-2</v>
      </c>
      <c r="F180" s="26">
        <v>2.903464734554291E-2</v>
      </c>
      <c r="G180" s="26">
        <v>3.1464752554893491E-2</v>
      </c>
      <c r="H180" s="26">
        <v>3.5044327378273024E-2</v>
      </c>
      <c r="I180" s="27">
        <f t="shared" si="25"/>
        <v>3.1725493550300604E-2</v>
      </c>
      <c r="K180" s="27"/>
      <c r="L180" s="151"/>
      <c r="M180" s="151"/>
      <c r="N180" s="151"/>
      <c r="O180" s="151"/>
      <c r="P180" s="151"/>
    </row>
    <row r="181" spans="1:47" x14ac:dyDescent="0.3">
      <c r="A181" s="8"/>
      <c r="B181" s="8"/>
      <c r="C181" s="11"/>
      <c r="D181" s="11"/>
      <c r="E181" s="11"/>
      <c r="F181" s="11"/>
      <c r="G181" s="11"/>
      <c r="H181" s="11"/>
      <c r="I181" s="8"/>
      <c r="K181" s="27"/>
      <c r="N181" s="151"/>
      <c r="O181" s="151"/>
      <c r="P181" s="151"/>
    </row>
    <row r="182" spans="1:47" x14ac:dyDescent="0.3">
      <c r="N182" s="151"/>
      <c r="O182" s="151"/>
      <c r="P182" s="151"/>
    </row>
    <row r="183" spans="1:47" x14ac:dyDescent="0.3">
      <c r="B183" t="s">
        <v>100</v>
      </c>
      <c r="N183" s="151"/>
      <c r="O183" s="151"/>
      <c r="P183" s="151"/>
    </row>
    <row r="184" spans="1:47" x14ac:dyDescent="0.3">
      <c r="C184" s="10"/>
      <c r="D184" s="172" t="s">
        <v>14</v>
      </c>
      <c r="E184" s="6" t="s">
        <v>15</v>
      </c>
      <c r="F184" s="6" t="s">
        <v>16</v>
      </c>
      <c r="G184" s="6" t="s">
        <v>119</v>
      </c>
      <c r="H184" s="6" t="s">
        <v>120</v>
      </c>
      <c r="I184" s="6" t="s">
        <v>121</v>
      </c>
      <c r="J184" s="6" t="s">
        <v>122</v>
      </c>
      <c r="K184" s="3"/>
      <c r="L184" s="151"/>
      <c r="M184" s="151"/>
      <c r="N184" s="151"/>
    </row>
    <row r="185" spans="1:47" x14ac:dyDescent="0.3">
      <c r="B185" s="3"/>
      <c r="C185" s="3"/>
      <c r="D185" s="3"/>
      <c r="E185" s="3"/>
      <c r="F185" s="3"/>
      <c r="G185" s="147" t="s">
        <v>5</v>
      </c>
      <c r="H185" s="13" t="s">
        <v>67</v>
      </c>
      <c r="I185" s="13"/>
      <c r="J185" s="13"/>
      <c r="K185" s="3"/>
      <c r="L185" s="151"/>
      <c r="M185" s="151"/>
      <c r="N185" s="151"/>
    </row>
    <row r="186" spans="1:47" x14ac:dyDescent="0.3">
      <c r="B186" s="3"/>
      <c r="C186" s="3"/>
      <c r="D186" s="3"/>
      <c r="E186" s="3"/>
      <c r="F186" s="3" t="s">
        <v>171</v>
      </c>
      <c r="G186" s="147" t="s">
        <v>171</v>
      </c>
      <c r="H186" s="3"/>
      <c r="I186" s="3"/>
      <c r="J186" s="3" t="s">
        <v>18</v>
      </c>
      <c r="K186" s="3"/>
      <c r="L186" s="151"/>
    </row>
    <row r="187" spans="1:47" x14ac:dyDescent="0.3">
      <c r="B187" s="7" t="s">
        <v>36</v>
      </c>
      <c r="C187" s="7" t="s">
        <v>78</v>
      </c>
      <c r="D187" s="7" t="s">
        <v>103</v>
      </c>
      <c r="E187" s="7" t="s">
        <v>170</v>
      </c>
      <c r="F187" s="7" t="s">
        <v>172</v>
      </c>
      <c r="G187" s="149" t="s">
        <v>172</v>
      </c>
      <c r="H187" s="7" t="s">
        <v>174</v>
      </c>
      <c r="I187" s="7" t="s">
        <v>57</v>
      </c>
      <c r="J187" s="7" t="s">
        <v>105</v>
      </c>
      <c r="K187" s="3"/>
    </row>
    <row r="188" spans="1:47" x14ac:dyDescent="0.3">
      <c r="B188" s="4">
        <f>ValDate</f>
        <v>44926</v>
      </c>
      <c r="C188" s="173">
        <v>0</v>
      </c>
      <c r="D188" s="166"/>
      <c r="E188" s="166"/>
      <c r="G188" s="67"/>
      <c r="H188" s="159">
        <f>-F43</f>
        <v>-224001988.857636</v>
      </c>
      <c r="I188" s="166">
        <f>H188</f>
        <v>-224001988.857636</v>
      </c>
      <c r="J188" s="166">
        <f>H188</f>
        <v>-224001988.857636</v>
      </c>
      <c r="K188" s="166"/>
    </row>
    <row r="189" spans="1:47" x14ac:dyDescent="0.3">
      <c r="B189" s="4">
        <f>DATE(YEAR(B188)+1,6,30)</f>
        <v>45107</v>
      </c>
      <c r="C189" s="173">
        <f>+C188+0.5</f>
        <v>0.5</v>
      </c>
      <c r="D189" s="159">
        <f>(D41*E41+D42*E42)/2</f>
        <v>4300000</v>
      </c>
      <c r="E189" s="166"/>
      <c r="F189" s="31">
        <f>F190</f>
        <v>2.2310983939539353E-4</v>
      </c>
      <c r="G189" s="174">
        <f>F189</f>
        <v>2.2310983939539353E-4</v>
      </c>
      <c r="H189" s="166">
        <f t="shared" ref="H189:H207" si="27">D189+E189</f>
        <v>4300000</v>
      </c>
      <c r="I189" s="166">
        <f t="shared" ref="I189:I207" si="28">$F$209*(D189+$E$207)</f>
        <v>78451200</v>
      </c>
      <c r="J189" s="166">
        <f>H189*(1-G189)+I189*F189</f>
        <v>4316543.862322975</v>
      </c>
      <c r="K189" s="166"/>
    </row>
    <row r="190" spans="1:47" x14ac:dyDescent="0.3">
      <c r="B190" s="4">
        <f>DATE(YEAR(B189),12,31)</f>
        <v>45291</v>
      </c>
      <c r="C190" s="173">
        <f t="shared" ref="C190:C207" si="29">+C189+0.5</f>
        <v>1</v>
      </c>
      <c r="D190" s="166">
        <f>+D189</f>
        <v>4300000</v>
      </c>
      <c r="E190" s="166"/>
      <c r="F190" s="31">
        <f>SUMIFS($E$149:$E$158,$A$149:$A$158,C190)/2</f>
        <v>2.2310983939539353E-4</v>
      </c>
      <c r="G190" s="174">
        <f>G189+F190</f>
        <v>4.4621967879078707E-4</v>
      </c>
      <c r="H190" s="166">
        <f t="shared" si="27"/>
        <v>4300000</v>
      </c>
      <c r="I190" s="166">
        <f t="shared" si="28"/>
        <v>78451200</v>
      </c>
      <c r="J190" s="166">
        <f t="shared" ref="J190:J207" si="30">H190*(1-G190)+I190*F190</f>
        <v>4315584.4900135752</v>
      </c>
      <c r="K190" s="166"/>
    </row>
    <row r="191" spans="1:47" x14ac:dyDescent="0.3">
      <c r="B191" s="4">
        <f t="shared" ref="B191" si="31">DATE(YEAR(B190)+1,6,30)</f>
        <v>45473</v>
      </c>
      <c r="C191" s="173">
        <f t="shared" si="29"/>
        <v>1.5</v>
      </c>
      <c r="D191" s="166">
        <f t="shared" ref="D191:D207" si="32">+D190</f>
        <v>4300000</v>
      </c>
      <c r="E191" s="166"/>
      <c r="F191" s="31">
        <f>F192</f>
        <v>2.8576102847435204E-6</v>
      </c>
      <c r="G191" s="174">
        <f t="shared" ref="G191:G207" si="33">G190+F191</f>
        <v>4.4907728907553059E-4</v>
      </c>
      <c r="H191" s="166">
        <f t="shared" si="27"/>
        <v>4300000</v>
      </c>
      <c r="I191" s="166">
        <f t="shared" si="28"/>
        <v>78451200</v>
      </c>
      <c r="J191" s="166">
        <f t="shared" si="30"/>
        <v>4298293.1506129457</v>
      </c>
      <c r="K191" s="166"/>
    </row>
    <row r="192" spans="1:47" x14ac:dyDescent="0.3">
      <c r="B192" s="4">
        <f t="shared" ref="B192" si="34">DATE(YEAR(B191),12,31)</f>
        <v>45657</v>
      </c>
      <c r="C192" s="173">
        <f t="shared" si="29"/>
        <v>2</v>
      </c>
      <c r="D192" s="166">
        <f t="shared" si="32"/>
        <v>4300000</v>
      </c>
      <c r="E192" s="166"/>
      <c r="F192" s="31">
        <f>SUMIFS($E$149:$E$158,$A$149:$A$158,C192)/2</f>
        <v>2.8576102847435204E-6</v>
      </c>
      <c r="G192" s="174">
        <f t="shared" si="33"/>
        <v>4.5193489936027411E-4</v>
      </c>
      <c r="H192" s="166">
        <f t="shared" si="27"/>
        <v>4300000</v>
      </c>
      <c r="I192" s="166">
        <f t="shared" si="28"/>
        <v>78451200</v>
      </c>
      <c r="J192" s="166">
        <f t="shared" si="30"/>
        <v>4298280.8628887208</v>
      </c>
      <c r="K192" s="166"/>
    </row>
    <row r="193" spans="1:11" x14ac:dyDescent="0.3">
      <c r="B193" s="4">
        <f t="shared" ref="B193" si="35">DATE(YEAR(B192)+1,6,30)</f>
        <v>45838</v>
      </c>
      <c r="C193" s="173">
        <f t="shared" si="29"/>
        <v>2.5</v>
      </c>
      <c r="D193" s="166">
        <f t="shared" si="32"/>
        <v>4300000</v>
      </c>
      <c r="E193" s="166"/>
      <c r="F193" s="31">
        <f>F194</f>
        <v>5.6948475598573504E-4</v>
      </c>
      <c r="G193" s="174">
        <f t="shared" si="33"/>
        <v>1.0214196553460092E-3</v>
      </c>
      <c r="H193" s="166">
        <f t="shared" si="27"/>
        <v>4300000</v>
      </c>
      <c r="I193" s="166">
        <f t="shared" si="28"/>
        <v>78451200</v>
      </c>
      <c r="J193" s="166">
        <f t="shared" si="30"/>
        <v>4340284.6579708001</v>
      </c>
      <c r="K193" s="166"/>
    </row>
    <row r="194" spans="1:11" x14ac:dyDescent="0.3">
      <c r="B194" s="4">
        <f t="shared" ref="B194" si="36">DATE(YEAR(B193),12,31)</f>
        <v>46022</v>
      </c>
      <c r="C194" s="173">
        <f t="shared" si="29"/>
        <v>3</v>
      </c>
      <c r="D194" s="166">
        <f t="shared" si="32"/>
        <v>4300000</v>
      </c>
      <c r="E194" s="166"/>
      <c r="F194" s="31">
        <f>SUMIFS($E$149:$E$158,$A$149:$A$158,C194)/2</f>
        <v>5.6948475598573504E-4</v>
      </c>
      <c r="G194" s="174">
        <f t="shared" si="33"/>
        <v>1.5909044113317442E-3</v>
      </c>
      <c r="H194" s="166">
        <f t="shared" si="27"/>
        <v>4300000</v>
      </c>
      <c r="I194" s="166">
        <f t="shared" si="28"/>
        <v>78451200</v>
      </c>
      <c r="J194" s="166">
        <f t="shared" si="30"/>
        <v>4337835.8735200614</v>
      </c>
      <c r="K194" s="166"/>
    </row>
    <row r="195" spans="1:11" x14ac:dyDescent="0.3">
      <c r="B195" s="4">
        <f t="shared" ref="B195" si="37">DATE(YEAR(B194)+1,6,30)</f>
        <v>46203</v>
      </c>
      <c r="C195" s="173">
        <f t="shared" si="29"/>
        <v>3.5</v>
      </c>
      <c r="D195" s="166">
        <f t="shared" si="32"/>
        <v>4300000</v>
      </c>
      <c r="E195" s="166"/>
      <c r="F195" s="31">
        <f>F196</f>
        <v>7.3330820363550571E-4</v>
      </c>
      <c r="G195" s="174">
        <f t="shared" si="33"/>
        <v>2.3242126149672498E-3</v>
      </c>
      <c r="H195" s="166">
        <f t="shared" si="27"/>
        <v>4300000</v>
      </c>
      <c r="I195" s="166">
        <f t="shared" si="28"/>
        <v>78451200</v>
      </c>
      <c r="J195" s="166">
        <f t="shared" si="30"/>
        <v>4347534.7943006903</v>
      </c>
      <c r="K195" s="166"/>
    </row>
    <row r="196" spans="1:11" x14ac:dyDescent="0.3">
      <c r="B196" s="4">
        <f t="shared" ref="B196" si="38">DATE(YEAR(B195),12,31)</f>
        <v>46387</v>
      </c>
      <c r="C196" s="173">
        <f t="shared" si="29"/>
        <v>4</v>
      </c>
      <c r="D196" s="166">
        <f t="shared" si="32"/>
        <v>4300000</v>
      </c>
      <c r="E196" s="166"/>
      <c r="F196" s="31">
        <f>SUMIFS($E$149:$E$158,$A$149:$A$158,C196)/2</f>
        <v>7.3330820363550571E-4</v>
      </c>
      <c r="G196" s="174">
        <f t="shared" si="33"/>
        <v>3.0575208186027557E-3</v>
      </c>
      <c r="H196" s="166">
        <f t="shared" si="27"/>
        <v>4300000</v>
      </c>
      <c r="I196" s="166">
        <f t="shared" si="28"/>
        <v>78451200</v>
      </c>
      <c r="J196" s="166">
        <f t="shared" si="30"/>
        <v>4344381.5690250583</v>
      </c>
      <c r="K196" s="166"/>
    </row>
    <row r="197" spans="1:11" x14ac:dyDescent="0.3">
      <c r="B197" s="4">
        <f t="shared" ref="B197" si="39">DATE(YEAR(B196)+1,6,30)</f>
        <v>46568</v>
      </c>
      <c r="C197" s="173">
        <f t="shared" si="29"/>
        <v>4.5</v>
      </c>
      <c r="D197" s="166">
        <f t="shared" si="32"/>
        <v>4300000</v>
      </c>
      <c r="E197" s="166"/>
      <c r="F197" s="31">
        <f>F198</f>
        <v>8.985024454291632E-4</v>
      </c>
      <c r="G197" s="174">
        <f t="shared" si="33"/>
        <v>3.9560232640319191E-3</v>
      </c>
      <c r="H197" s="166">
        <f t="shared" si="27"/>
        <v>4300000</v>
      </c>
      <c r="I197" s="166">
        <f t="shared" si="28"/>
        <v>78451200</v>
      </c>
      <c r="J197" s="166">
        <f t="shared" si="30"/>
        <v>4353477.6950115152</v>
      </c>
      <c r="K197" s="166"/>
    </row>
    <row r="198" spans="1:11" x14ac:dyDescent="0.3">
      <c r="B198" s="4">
        <f t="shared" ref="B198" si="40">DATE(YEAR(B197),12,31)</f>
        <v>46752</v>
      </c>
      <c r="C198" s="173">
        <f t="shared" si="29"/>
        <v>5</v>
      </c>
      <c r="D198" s="166">
        <f t="shared" si="32"/>
        <v>4300000</v>
      </c>
      <c r="E198" s="166"/>
      <c r="F198" s="31">
        <f>SUMIFS($E$149:$E$158,$A$149:$A$158,C198)/2</f>
        <v>8.985024454291632E-4</v>
      </c>
      <c r="G198" s="174">
        <f t="shared" si="33"/>
        <v>4.8545257094610821E-3</v>
      </c>
      <c r="H198" s="166">
        <f t="shared" si="27"/>
        <v>4300000</v>
      </c>
      <c r="I198" s="166">
        <f t="shared" si="28"/>
        <v>78451200</v>
      </c>
      <c r="J198" s="166">
        <f t="shared" si="30"/>
        <v>4349614.1344961701</v>
      </c>
      <c r="K198" s="166"/>
    </row>
    <row r="199" spans="1:11" x14ac:dyDescent="0.3">
      <c r="B199" s="4">
        <f t="shared" ref="B199" si="41">DATE(YEAR(B198)+1,6,30)</f>
        <v>46934</v>
      </c>
      <c r="C199" s="173">
        <f t="shared" si="29"/>
        <v>5.5</v>
      </c>
      <c r="D199" s="166">
        <f t="shared" si="32"/>
        <v>4300000</v>
      </c>
      <c r="E199" s="166"/>
      <c r="F199" s="31">
        <f>F200</f>
        <v>8.2984251027614937E-4</v>
      </c>
      <c r="G199" s="174">
        <f t="shared" si="33"/>
        <v>5.6843682197372314E-3</v>
      </c>
      <c r="H199" s="166">
        <f t="shared" si="27"/>
        <v>4300000</v>
      </c>
      <c r="I199" s="166">
        <f t="shared" si="28"/>
        <v>78451200</v>
      </c>
      <c r="J199" s="166">
        <f t="shared" si="30"/>
        <v>4340659.3573973058</v>
      </c>
      <c r="K199" s="166"/>
    </row>
    <row r="200" spans="1:11" x14ac:dyDescent="0.3">
      <c r="B200" s="4">
        <f t="shared" ref="B200" si="42">DATE(YEAR(B199),12,31)</f>
        <v>47118</v>
      </c>
      <c r="C200" s="173">
        <f t="shared" si="29"/>
        <v>6</v>
      </c>
      <c r="D200" s="166">
        <f t="shared" si="32"/>
        <v>4300000</v>
      </c>
      <c r="E200" s="166"/>
      <c r="F200" s="31">
        <f>SUMIFS($E$149:$E$158,$A$149:$A$158,C200)/2</f>
        <v>8.2984251027614937E-4</v>
      </c>
      <c r="G200" s="174">
        <f t="shared" si="33"/>
        <v>6.5142107300133808E-3</v>
      </c>
      <c r="H200" s="166">
        <f t="shared" si="27"/>
        <v>4300000</v>
      </c>
      <c r="I200" s="166">
        <f t="shared" si="28"/>
        <v>78451200</v>
      </c>
      <c r="J200" s="166">
        <f t="shared" si="30"/>
        <v>4337091.0346031189</v>
      </c>
      <c r="K200" s="166"/>
    </row>
    <row r="201" spans="1:11" x14ac:dyDescent="0.3">
      <c r="B201" s="4">
        <f t="shared" ref="B201" si="43">DATE(YEAR(B200)+1,6,30)</f>
        <v>47299</v>
      </c>
      <c r="C201" s="173">
        <f t="shared" si="29"/>
        <v>6.5</v>
      </c>
      <c r="D201" s="166">
        <f t="shared" si="32"/>
        <v>4300000</v>
      </c>
      <c r="E201" s="166"/>
      <c r="F201" s="31">
        <f>F202</f>
        <v>4.8096729242312663E-4</v>
      </c>
      <c r="G201" s="174">
        <f t="shared" si="33"/>
        <v>6.995178022436507E-3</v>
      </c>
      <c r="H201" s="166">
        <f t="shared" si="27"/>
        <v>4300000</v>
      </c>
      <c r="I201" s="166">
        <f t="shared" si="28"/>
        <v>78451200</v>
      </c>
      <c r="J201" s="166">
        <f t="shared" si="30"/>
        <v>4307653.195754868</v>
      </c>
      <c r="K201" s="166"/>
    </row>
    <row r="202" spans="1:11" x14ac:dyDescent="0.3">
      <c r="B202" s="4">
        <f t="shared" ref="B202" si="44">DATE(YEAR(B201),12,31)</f>
        <v>47483</v>
      </c>
      <c r="C202" s="173">
        <f t="shared" si="29"/>
        <v>7</v>
      </c>
      <c r="D202" s="166">
        <f t="shared" si="32"/>
        <v>4300000</v>
      </c>
      <c r="E202" s="166"/>
      <c r="F202" s="31">
        <f>SUMIFS($E$149:$E$158,$A$149:$A$158,C202)/2</f>
        <v>4.8096729242312663E-4</v>
      </c>
      <c r="G202" s="174">
        <f t="shared" si="33"/>
        <v>7.4761453148596332E-3</v>
      </c>
      <c r="H202" s="166">
        <f t="shared" si="27"/>
        <v>4300000</v>
      </c>
      <c r="I202" s="166">
        <f t="shared" si="28"/>
        <v>78451200</v>
      </c>
      <c r="J202" s="166">
        <f t="shared" si="30"/>
        <v>4305585.0363974487</v>
      </c>
      <c r="K202" s="166"/>
    </row>
    <row r="203" spans="1:11" x14ac:dyDescent="0.3">
      <c r="B203" s="4">
        <f t="shared" ref="B203:B207" si="45">DATE(YEAR(B202)+1,6,30)</f>
        <v>47664</v>
      </c>
      <c r="C203" s="173">
        <f t="shared" si="29"/>
        <v>7.5</v>
      </c>
      <c r="D203" s="166">
        <f t="shared" si="32"/>
        <v>4300000</v>
      </c>
      <c r="E203" s="166"/>
      <c r="F203" s="31">
        <f>F204</f>
        <v>6.77417785130354E-4</v>
      </c>
      <c r="G203" s="174">
        <f t="shared" si="33"/>
        <v>8.1535630999899876E-3</v>
      </c>
      <c r="H203" s="166">
        <f t="shared" si="27"/>
        <v>4300000</v>
      </c>
      <c r="I203" s="166">
        <f t="shared" si="28"/>
        <v>78451200</v>
      </c>
      <c r="J203" s="166">
        <f t="shared" si="30"/>
        <v>4318083.9168148618</v>
      </c>
      <c r="K203" s="166"/>
    </row>
    <row r="204" spans="1:11" x14ac:dyDescent="0.3">
      <c r="A204" s="150"/>
      <c r="B204" s="4">
        <f t="shared" ref="B204:B206" si="46">DATE(YEAR(B203),12,31)</f>
        <v>47848</v>
      </c>
      <c r="C204" s="173">
        <f t="shared" si="29"/>
        <v>8</v>
      </c>
      <c r="D204" s="166">
        <f t="shared" si="32"/>
        <v>4300000</v>
      </c>
      <c r="E204" s="166"/>
      <c r="F204" s="31">
        <f>SUMIFS($E$149:$E$158,$A$149:$A$158,C204)/2</f>
        <v>6.77417785130354E-4</v>
      </c>
      <c r="G204" s="174">
        <f t="shared" si="33"/>
        <v>8.830980885120342E-3</v>
      </c>
      <c r="H204" s="166">
        <f t="shared" si="27"/>
        <v>4300000</v>
      </c>
      <c r="I204" s="166">
        <f t="shared" si="28"/>
        <v>78451200</v>
      </c>
      <c r="J204" s="166">
        <f t="shared" si="30"/>
        <v>4315171.0203388007</v>
      </c>
      <c r="K204" s="166"/>
    </row>
    <row r="205" spans="1:11" x14ac:dyDescent="0.3">
      <c r="A205" s="150"/>
      <c r="B205" s="4">
        <f t="shared" si="45"/>
        <v>48029</v>
      </c>
      <c r="C205" s="173">
        <f t="shared" si="29"/>
        <v>8.5</v>
      </c>
      <c r="D205" s="166">
        <f t="shared" si="32"/>
        <v>4300000</v>
      </c>
      <c r="E205" s="166"/>
      <c r="F205" s="31">
        <f>F206</f>
        <v>4.1832998483928158E-4</v>
      </c>
      <c r="G205" s="174">
        <f t="shared" si="33"/>
        <v>9.2493108699596236E-3</v>
      </c>
      <c r="H205" s="166">
        <f t="shared" si="27"/>
        <v>4300000</v>
      </c>
      <c r="I205" s="166">
        <f t="shared" si="28"/>
        <v>78451200</v>
      </c>
      <c r="J205" s="166">
        <f t="shared" si="30"/>
        <v>4293046.4525657967</v>
      </c>
      <c r="K205" s="166"/>
    </row>
    <row r="206" spans="1:11" x14ac:dyDescent="0.3">
      <c r="A206" s="150"/>
      <c r="B206" s="4">
        <f t="shared" si="46"/>
        <v>48213</v>
      </c>
      <c r="C206" s="173">
        <f t="shared" si="29"/>
        <v>9</v>
      </c>
      <c r="D206" s="166">
        <f t="shared" si="32"/>
        <v>4300000</v>
      </c>
      <c r="E206" s="166"/>
      <c r="F206" s="31">
        <f>SUMIFS($E$149:$E$158,$A$149:$A$158,C206)/2</f>
        <v>4.1832998483928158E-4</v>
      </c>
      <c r="G206" s="174">
        <f t="shared" si="33"/>
        <v>9.6676408547989052E-3</v>
      </c>
      <c r="H206" s="166">
        <f t="shared" si="27"/>
        <v>4300000</v>
      </c>
      <c r="I206" s="166">
        <f t="shared" si="28"/>
        <v>78451200</v>
      </c>
      <c r="J206" s="166">
        <f t="shared" si="30"/>
        <v>4291247.6336309882</v>
      </c>
      <c r="K206" s="166"/>
    </row>
    <row r="207" spans="1:11" x14ac:dyDescent="0.3">
      <c r="A207" s="150"/>
      <c r="B207" s="4">
        <f t="shared" si="45"/>
        <v>48395</v>
      </c>
      <c r="C207" s="173">
        <f t="shared" si="29"/>
        <v>9.5</v>
      </c>
      <c r="D207" s="166">
        <f t="shared" si="32"/>
        <v>4300000</v>
      </c>
      <c r="E207" s="166">
        <f>SUM(E41:E42)</f>
        <v>200000000</v>
      </c>
      <c r="F207" s="26">
        <f>SUMIFS($E$149:$E$158,$A$149:$A$158,C207+0.5)/2</f>
        <v>5.7405368437086785E-4</v>
      </c>
      <c r="G207" s="174">
        <f t="shared" si="33"/>
        <v>1.0241694539169774E-2</v>
      </c>
      <c r="H207" s="166">
        <f t="shared" si="27"/>
        <v>204300000</v>
      </c>
      <c r="I207" s="166">
        <f t="shared" si="28"/>
        <v>78451200</v>
      </c>
      <c r="J207" s="166">
        <f t="shared" si="30"/>
        <v>202252657.00605091</v>
      </c>
      <c r="K207" s="166"/>
    </row>
    <row r="208" spans="1:11" x14ac:dyDescent="0.3">
      <c r="A208" s="150"/>
      <c r="B208" s="162"/>
      <c r="C208" s="175"/>
      <c r="D208" s="11"/>
      <c r="E208" s="11"/>
      <c r="F208" s="75"/>
      <c r="G208" s="176"/>
      <c r="H208" s="177"/>
      <c r="I208" s="177"/>
      <c r="J208" s="177"/>
      <c r="K208" s="178"/>
    </row>
    <row r="209" spans="1:13" x14ac:dyDescent="0.3">
      <c r="A209" s="150"/>
      <c r="B209" s="38" t="s">
        <v>249</v>
      </c>
      <c r="F209" s="158">
        <v>0.38400000000000001</v>
      </c>
      <c r="G209" s="151"/>
      <c r="H209" s="178"/>
      <c r="I209" s="178"/>
      <c r="J209" s="178"/>
      <c r="K209" s="178"/>
    </row>
    <row r="210" spans="1:13" x14ac:dyDescent="0.3">
      <c r="A210" s="150"/>
      <c r="B210" s="4"/>
      <c r="C210" s="173"/>
      <c r="D210" s="10"/>
      <c r="E210" s="10"/>
      <c r="F210" s="31"/>
      <c r="G210" s="151"/>
      <c r="H210" s="178"/>
      <c r="I210" s="178"/>
      <c r="J210" s="178"/>
      <c r="K210" s="178"/>
    </row>
    <row r="211" spans="1:13" x14ac:dyDescent="0.3">
      <c r="B211" s="38" t="s">
        <v>250</v>
      </c>
      <c r="H211" s="187">
        <f>XIRR(H188:H207,$B$188:$B$207)</f>
        <v>2.8682407736778257E-2</v>
      </c>
      <c r="J211" s="187">
        <f>XIRR(J188:J207,$B$188:$B$207)</f>
        <v>2.7991309762001038E-2</v>
      </c>
      <c r="K211" s="187"/>
    </row>
    <row r="214" spans="1:13" x14ac:dyDescent="0.3">
      <c r="A214" s="150"/>
      <c r="B214" s="4"/>
      <c r="C214" s="173"/>
      <c r="D214" s="173"/>
      <c r="E214" s="10"/>
      <c r="F214" s="10"/>
      <c r="G214" s="10"/>
      <c r="H214" s="31"/>
      <c r="I214" s="151"/>
      <c r="J214" s="178"/>
      <c r="K214" s="178"/>
      <c r="L214" s="178"/>
      <c r="M214" s="178"/>
    </row>
    <row r="215" spans="1:13" x14ac:dyDescent="0.3">
      <c r="A215" s="150"/>
      <c r="B215" s="4"/>
      <c r="C215" s="173"/>
      <c r="D215" s="173"/>
      <c r="E215" s="10"/>
      <c r="F215" s="10"/>
      <c r="G215" s="10"/>
      <c r="H215" s="31"/>
      <c r="I215" s="151"/>
      <c r="J215" s="178"/>
      <c r="K215" s="178"/>
      <c r="L215" s="178"/>
      <c r="M215" s="178"/>
    </row>
    <row r="216" spans="1:13" x14ac:dyDescent="0.3">
      <c r="A216" s="5" t="s">
        <v>13</v>
      </c>
      <c r="B216" s="4"/>
      <c r="C216" s="173"/>
      <c r="D216" s="173"/>
      <c r="E216" s="10"/>
      <c r="F216" s="10"/>
      <c r="G216" s="10"/>
      <c r="H216" s="31"/>
      <c r="I216" s="151"/>
      <c r="J216" s="178"/>
      <c r="K216" s="178"/>
      <c r="L216" s="178"/>
      <c r="M216" s="178"/>
    </row>
    <row r="217" spans="1:13" x14ac:dyDescent="0.3">
      <c r="A217" s="150" t="s">
        <v>169</v>
      </c>
      <c r="B217" s="4"/>
      <c r="C217" s="173"/>
      <c r="D217" s="173"/>
      <c r="E217" s="10"/>
      <c r="F217" s="10"/>
      <c r="G217" s="10"/>
      <c r="H217" s="31"/>
      <c r="I217" s="151"/>
      <c r="J217" s="178"/>
      <c r="K217" s="178"/>
      <c r="L217" s="178"/>
      <c r="M217" s="178"/>
    </row>
    <row r="218" spans="1:13" x14ac:dyDescent="0.3">
      <c r="A218" s="150" t="s">
        <v>234</v>
      </c>
      <c r="B218" s="4"/>
      <c r="C218" s="173"/>
      <c r="D218" s="173"/>
      <c r="E218" s="10"/>
      <c r="F218" s="10"/>
      <c r="G218" s="10"/>
      <c r="H218" s="31"/>
      <c r="I218" s="151"/>
      <c r="J218" s="178"/>
      <c r="K218" s="178"/>
      <c r="L218" s="178"/>
      <c r="M218" s="178"/>
    </row>
    <row r="219" spans="1:13" x14ac:dyDescent="0.3">
      <c r="A219" s="155" t="s">
        <v>245</v>
      </c>
      <c r="B219" s="4"/>
      <c r="C219" s="173"/>
      <c r="D219" s="173"/>
      <c r="E219" s="10"/>
      <c r="F219" s="10"/>
      <c r="G219" s="10"/>
      <c r="H219" s="31"/>
      <c r="I219" s="151"/>
      <c r="J219" s="178"/>
      <c r="K219" s="178"/>
      <c r="L219" s="178"/>
      <c r="M219" s="178"/>
    </row>
    <row r="220" spans="1:13" x14ac:dyDescent="0.3">
      <c r="A220" s="155" t="s">
        <v>244</v>
      </c>
      <c r="B220" s="4"/>
      <c r="C220" s="173"/>
      <c r="D220" s="173"/>
      <c r="E220" s="10"/>
      <c r="F220" s="10"/>
      <c r="G220" s="10"/>
      <c r="H220" s="31"/>
      <c r="I220" s="151"/>
      <c r="J220" s="178"/>
      <c r="K220" s="178"/>
      <c r="L220" s="178"/>
      <c r="M220" s="178"/>
    </row>
    <row r="221" spans="1:13" x14ac:dyDescent="0.3">
      <c r="A221" s="155" t="s">
        <v>246</v>
      </c>
      <c r="B221" s="4"/>
      <c r="C221" s="173"/>
      <c r="D221" s="173"/>
      <c r="E221" s="10"/>
      <c r="F221" s="10"/>
      <c r="G221" s="10"/>
      <c r="H221" s="31"/>
      <c r="I221" s="151"/>
      <c r="J221" s="178"/>
      <c r="K221" s="178"/>
      <c r="L221" s="178"/>
      <c r="M221" s="178"/>
    </row>
    <row r="222" spans="1:13" x14ac:dyDescent="0.3">
      <c r="A222" s="155" t="s">
        <v>247</v>
      </c>
      <c r="B222" s="4"/>
      <c r="C222" s="173"/>
      <c r="D222" s="173"/>
      <c r="E222" s="10"/>
      <c r="F222" s="10"/>
      <c r="G222" s="10"/>
      <c r="H222" s="31"/>
      <c r="I222" s="151"/>
      <c r="J222" s="178"/>
      <c r="K222" s="178"/>
      <c r="L222" s="178"/>
      <c r="M222" s="178"/>
    </row>
    <row r="223" spans="1:13" x14ac:dyDescent="0.3">
      <c r="A223" s="155" t="s">
        <v>248</v>
      </c>
      <c r="B223" s="4"/>
      <c r="C223" s="173"/>
      <c r="D223" s="173"/>
      <c r="E223" s="10"/>
      <c r="F223" s="10"/>
      <c r="G223" s="10"/>
      <c r="H223" s="31"/>
      <c r="I223" s="151"/>
      <c r="J223" s="178"/>
      <c r="K223" s="178"/>
      <c r="L223" s="178"/>
      <c r="M223" s="178"/>
    </row>
    <row r="224" spans="1:13" x14ac:dyDescent="0.3">
      <c r="A224" s="155" t="s">
        <v>251</v>
      </c>
      <c r="B224" s="4"/>
      <c r="C224" s="173"/>
      <c r="D224" s="173"/>
      <c r="E224" s="10"/>
      <c r="F224" s="10"/>
      <c r="G224" s="10"/>
      <c r="H224" s="31"/>
      <c r="I224" s="151"/>
      <c r="J224" s="178"/>
      <c r="K224" s="178"/>
      <c r="L224" s="178"/>
      <c r="M224" s="178"/>
    </row>
    <row r="225" spans="1:13" x14ac:dyDescent="0.3">
      <c r="A225" s="155" t="s">
        <v>252</v>
      </c>
      <c r="B225" s="4"/>
      <c r="C225" s="173"/>
      <c r="D225" s="173"/>
      <c r="E225" s="10"/>
      <c r="F225" s="10"/>
      <c r="G225" s="10"/>
      <c r="H225" s="31"/>
      <c r="I225" s="151"/>
      <c r="J225" s="178"/>
      <c r="K225" s="178"/>
      <c r="L225" s="178"/>
      <c r="M225" s="178"/>
    </row>
    <row r="226" spans="1:13" x14ac:dyDescent="0.3">
      <c r="A226" s="155" t="s">
        <v>253</v>
      </c>
      <c r="B226" s="4"/>
      <c r="C226" s="173"/>
      <c r="D226" s="173"/>
      <c r="E226" s="10"/>
      <c r="F226" s="10"/>
      <c r="G226" s="10"/>
      <c r="H226" s="31"/>
      <c r="I226" s="151"/>
      <c r="J226" s="178"/>
      <c r="K226" s="178"/>
      <c r="L226" s="178"/>
      <c r="M226" s="178"/>
    </row>
    <row r="227" spans="1:13" x14ac:dyDescent="0.3">
      <c r="A227" s="155" t="s">
        <v>254</v>
      </c>
      <c r="B227" s="4"/>
      <c r="C227" s="173"/>
      <c r="D227" s="173"/>
      <c r="E227" s="10"/>
      <c r="F227" s="10"/>
      <c r="G227" s="10"/>
      <c r="H227" s="31"/>
      <c r="I227" s="151"/>
      <c r="J227" s="178"/>
      <c r="K227" s="178"/>
      <c r="L227" s="178"/>
      <c r="M227" s="178"/>
    </row>
    <row r="228" spans="1:13" x14ac:dyDescent="0.3">
      <c r="A228" s="155"/>
      <c r="B228" s="4"/>
      <c r="C228" s="173"/>
      <c r="D228" s="173"/>
      <c r="E228" s="10"/>
      <c r="F228" s="10"/>
      <c r="G228" s="10"/>
      <c r="H228" s="31"/>
      <c r="I228" s="151"/>
      <c r="J228" s="178"/>
      <c r="K228" s="178"/>
      <c r="L228" s="178"/>
      <c r="M228" s="178"/>
    </row>
    <row r="229" spans="1:13" x14ac:dyDescent="0.3">
      <c r="A229" s="150"/>
      <c r="B229" s="4"/>
      <c r="C229" s="173"/>
      <c r="D229" s="173"/>
      <c r="E229" s="10"/>
      <c r="F229" s="10"/>
      <c r="G229" s="10"/>
      <c r="H229" s="31"/>
      <c r="I229" s="151"/>
      <c r="J229" s="178"/>
      <c r="K229" s="178"/>
      <c r="L229" s="178"/>
      <c r="M229" s="178"/>
    </row>
    <row r="230" spans="1:13" x14ac:dyDescent="0.3">
      <c r="A230" s="5" t="s">
        <v>173</v>
      </c>
    </row>
    <row r="231" spans="1:13" x14ac:dyDescent="0.3">
      <c r="A231" s="5" t="s">
        <v>128</v>
      </c>
    </row>
    <row r="232" spans="1:13" x14ac:dyDescent="0.3">
      <c r="I232" s="3" t="s">
        <v>175</v>
      </c>
    </row>
    <row r="233" spans="1:13" x14ac:dyDescent="0.3">
      <c r="A233" s="102" t="s">
        <v>5</v>
      </c>
      <c r="B233" s="102" t="s">
        <v>58</v>
      </c>
      <c r="C233" s="13" t="s">
        <v>54</v>
      </c>
      <c r="D233" s="13"/>
      <c r="E233" s="13"/>
      <c r="F233" s="13"/>
      <c r="G233" s="13"/>
      <c r="H233" s="13"/>
      <c r="I233" s="3" t="s">
        <v>114</v>
      </c>
    </row>
    <row r="234" spans="1:13" x14ac:dyDescent="0.3">
      <c r="A234" s="24" t="s">
        <v>57</v>
      </c>
      <c r="B234" s="24" t="s">
        <v>59</v>
      </c>
      <c r="C234" s="7" t="s">
        <v>55</v>
      </c>
      <c r="D234" s="7" t="s">
        <v>367</v>
      </c>
      <c r="E234" s="7" t="s">
        <v>34</v>
      </c>
      <c r="F234" s="7" t="s">
        <v>35</v>
      </c>
      <c r="G234" s="7" t="s">
        <v>33</v>
      </c>
      <c r="H234" s="7" t="s">
        <v>56</v>
      </c>
      <c r="I234" s="7" t="s">
        <v>41</v>
      </c>
    </row>
    <row r="235" spans="1:13" x14ac:dyDescent="0.3">
      <c r="A235" s="102">
        <f>$A$24</f>
        <v>2023</v>
      </c>
      <c r="B235" s="102">
        <v>0.5</v>
      </c>
      <c r="C235" s="188">
        <f t="shared" ref="C235:I244" si="47">10000*(C24-C171)</f>
        <v>0</v>
      </c>
      <c r="D235" s="188">
        <f t="shared" si="47"/>
        <v>5.9916973114013468</v>
      </c>
      <c r="E235" s="188">
        <f t="shared" si="47"/>
        <v>5.6408047676085804</v>
      </c>
      <c r="F235" s="188">
        <f t="shared" si="47"/>
        <v>6.8169832229614258</v>
      </c>
      <c r="G235" s="188">
        <f t="shared" si="47"/>
        <v>19.291400909423778</v>
      </c>
      <c r="H235" s="188">
        <f t="shared" si="47"/>
        <v>57.254612445831256</v>
      </c>
      <c r="I235" s="188">
        <f t="shared" si="47"/>
        <v>27.857134342193572</v>
      </c>
    </row>
    <row r="236" spans="1:13" x14ac:dyDescent="0.3">
      <c r="A236" s="102">
        <f>+A235+1</f>
        <v>2024</v>
      </c>
      <c r="B236" s="102">
        <f>+B235+1</f>
        <v>1.5</v>
      </c>
      <c r="C236" s="188">
        <f t="shared" si="47"/>
        <v>0</v>
      </c>
      <c r="D236" s="188">
        <f t="shared" si="47"/>
        <v>5.6193470954895437</v>
      </c>
      <c r="E236" s="188">
        <f t="shared" si="47"/>
        <v>2.1030902862548966</v>
      </c>
      <c r="F236" s="188">
        <f t="shared" si="47"/>
        <v>7.4442028999328889</v>
      </c>
      <c r="G236" s="188">
        <f t="shared" si="47"/>
        <v>17.315208911895773</v>
      </c>
      <c r="H236" s="188">
        <f t="shared" si="47"/>
        <v>56.196987628936711</v>
      </c>
      <c r="I236" s="188">
        <f t="shared" si="47"/>
        <v>26.790859103202855</v>
      </c>
    </row>
    <row r="237" spans="1:13" x14ac:dyDescent="0.3">
      <c r="A237" s="102">
        <f t="shared" ref="A237:B244" si="48">+A236+1</f>
        <v>2025</v>
      </c>
      <c r="B237" s="102">
        <f t="shared" si="48"/>
        <v>2.5</v>
      </c>
      <c r="C237" s="188">
        <f t="shared" si="47"/>
        <v>0</v>
      </c>
      <c r="D237" s="188">
        <f t="shared" si="47"/>
        <v>8.4755420684814666</v>
      </c>
      <c r="E237" s="188">
        <f t="shared" si="47"/>
        <v>4.6339035034178782</v>
      </c>
      <c r="F237" s="188">
        <f t="shared" si="47"/>
        <v>9.2416405677795552</v>
      </c>
      <c r="G237" s="188">
        <f t="shared" si="47"/>
        <v>20.081698894500629</v>
      </c>
      <c r="H237" s="188">
        <f t="shared" si="47"/>
        <v>51.922619342803998</v>
      </c>
      <c r="I237" s="188">
        <f t="shared" si="47"/>
        <v>26.80050313472751</v>
      </c>
    </row>
    <row r="238" spans="1:13" x14ac:dyDescent="0.3">
      <c r="A238" s="102">
        <f t="shared" si="48"/>
        <v>2026</v>
      </c>
      <c r="B238" s="102">
        <f t="shared" si="48"/>
        <v>3.5</v>
      </c>
      <c r="C238" s="188">
        <f t="shared" si="47"/>
        <v>0</v>
      </c>
      <c r="D238" s="188">
        <f t="shared" si="47"/>
        <v>10.318636894226033</v>
      </c>
      <c r="E238" s="188">
        <f t="shared" si="47"/>
        <v>6.4429640769958496</v>
      </c>
      <c r="F238" s="188">
        <f t="shared" si="47"/>
        <v>11.625230312347426</v>
      </c>
      <c r="G238" s="188">
        <f t="shared" si="47"/>
        <v>21.71677350997922</v>
      </c>
      <c r="H238" s="188">
        <f t="shared" si="47"/>
        <v>57.490527629852387</v>
      </c>
      <c r="I238" s="188">
        <f t="shared" si="47"/>
        <v>30.037312507629441</v>
      </c>
    </row>
    <row r="239" spans="1:13" x14ac:dyDescent="0.3">
      <c r="A239" s="102">
        <f t="shared" si="48"/>
        <v>2027</v>
      </c>
      <c r="B239" s="102">
        <f t="shared" si="48"/>
        <v>4.5</v>
      </c>
      <c r="C239" s="188">
        <f t="shared" si="47"/>
        <v>0</v>
      </c>
      <c r="D239" s="188">
        <f t="shared" si="47"/>
        <v>12.790739536285393</v>
      </c>
      <c r="E239" s="188">
        <f t="shared" si="47"/>
        <v>8.1145167350769523</v>
      </c>
      <c r="F239" s="188">
        <f t="shared" si="47"/>
        <v>12.971699237823465</v>
      </c>
      <c r="G239" s="188">
        <f t="shared" si="47"/>
        <v>24.238169193267801</v>
      </c>
      <c r="H239" s="188">
        <f t="shared" si="47"/>
        <v>66.399097442627024</v>
      </c>
      <c r="I239" s="188">
        <f t="shared" si="47"/>
        <v>34.388753771781921</v>
      </c>
    </row>
    <row r="240" spans="1:13" x14ac:dyDescent="0.3">
      <c r="A240" s="102">
        <f t="shared" si="48"/>
        <v>2028</v>
      </c>
      <c r="B240" s="102">
        <f t="shared" si="48"/>
        <v>5.5</v>
      </c>
      <c r="C240" s="188">
        <f t="shared" si="47"/>
        <v>0</v>
      </c>
      <c r="D240" s="188">
        <f t="shared" si="47"/>
        <v>12.651085853576625</v>
      </c>
      <c r="E240" s="188">
        <f t="shared" si="47"/>
        <v>9.0621113777160023</v>
      </c>
      <c r="F240" s="188">
        <f t="shared" si="47"/>
        <v>13.561248779296875</v>
      </c>
      <c r="G240" s="188">
        <f t="shared" si="47"/>
        <v>26.984810829162598</v>
      </c>
      <c r="H240" s="188">
        <f t="shared" si="47"/>
        <v>60.384929180145321</v>
      </c>
      <c r="I240" s="188">
        <f t="shared" si="47"/>
        <v>33.303211927413926</v>
      </c>
    </row>
    <row r="241" spans="1:23" x14ac:dyDescent="0.3">
      <c r="A241" s="102">
        <f t="shared" si="48"/>
        <v>2029</v>
      </c>
      <c r="B241" s="102">
        <f t="shared" si="48"/>
        <v>6.5</v>
      </c>
      <c r="C241" s="188">
        <f t="shared" si="47"/>
        <v>0</v>
      </c>
      <c r="D241" s="188">
        <f t="shared" si="47"/>
        <v>15.920639038085952</v>
      </c>
      <c r="E241" s="188">
        <f t="shared" si="47"/>
        <v>9.6619725227356508</v>
      </c>
      <c r="F241" s="188">
        <f t="shared" si="47"/>
        <v>15.865385532379157</v>
      </c>
      <c r="G241" s="188">
        <f t="shared" si="47"/>
        <v>31.859338283538875</v>
      </c>
      <c r="H241" s="188">
        <f t="shared" si="47"/>
        <v>60.33349037170413</v>
      </c>
      <c r="I241" s="188">
        <f t="shared" si="47"/>
        <v>35.349221825599663</v>
      </c>
    </row>
    <row r="242" spans="1:23" x14ac:dyDescent="0.3">
      <c r="A242" s="102">
        <f t="shared" si="48"/>
        <v>2030</v>
      </c>
      <c r="B242" s="102">
        <f t="shared" si="48"/>
        <v>7.5</v>
      </c>
      <c r="C242" s="188">
        <f t="shared" si="47"/>
        <v>0</v>
      </c>
      <c r="D242" s="188">
        <f t="shared" si="47"/>
        <v>17.507672309875417</v>
      </c>
      <c r="E242" s="188">
        <f t="shared" si="47"/>
        <v>9.9061131477356028</v>
      </c>
      <c r="F242" s="188">
        <f t="shared" si="47"/>
        <v>15.315890312194783</v>
      </c>
      <c r="G242" s="188">
        <f t="shared" si="47"/>
        <v>32.178342342376908</v>
      </c>
      <c r="H242" s="188">
        <f t="shared" si="47"/>
        <v>59.881329536438102</v>
      </c>
      <c r="I242" s="188">
        <f t="shared" si="47"/>
        <v>35.148400664329614</v>
      </c>
    </row>
    <row r="243" spans="1:23" x14ac:dyDescent="0.3">
      <c r="A243" s="102">
        <f t="shared" si="48"/>
        <v>2031</v>
      </c>
      <c r="B243" s="102">
        <f t="shared" si="48"/>
        <v>8.5</v>
      </c>
      <c r="C243" s="188">
        <f t="shared" si="47"/>
        <v>0</v>
      </c>
      <c r="D243" s="188">
        <f t="shared" si="47"/>
        <v>16.134560108184807</v>
      </c>
      <c r="E243" s="188">
        <f t="shared" si="47"/>
        <v>10.208070278167787</v>
      </c>
      <c r="F243" s="188">
        <f t="shared" si="47"/>
        <v>14.719724655151284</v>
      </c>
      <c r="G243" s="188">
        <f t="shared" si="47"/>
        <v>31.92245960235606</v>
      </c>
      <c r="H243" s="188">
        <f t="shared" si="47"/>
        <v>63.450038433075093</v>
      </c>
      <c r="I243" s="188">
        <f t="shared" si="47"/>
        <v>36.186051368713478</v>
      </c>
    </row>
    <row r="244" spans="1:23" x14ac:dyDescent="0.3">
      <c r="A244" s="102">
        <f t="shared" si="48"/>
        <v>2032</v>
      </c>
      <c r="B244" s="102">
        <f t="shared" si="48"/>
        <v>9.5</v>
      </c>
      <c r="C244" s="188">
        <f t="shared" si="47"/>
        <v>0</v>
      </c>
      <c r="D244" s="188">
        <f t="shared" si="47"/>
        <v>16.233444213867124</v>
      </c>
      <c r="E244" s="188">
        <f t="shared" si="47"/>
        <v>7.3471665382385254</v>
      </c>
      <c r="F244" s="188">
        <f t="shared" si="47"/>
        <v>15.984237194061231</v>
      </c>
      <c r="G244" s="188">
        <f t="shared" si="47"/>
        <v>35.593926906585665</v>
      </c>
      <c r="H244" s="188">
        <f t="shared" si="47"/>
        <v>66.636860370635901</v>
      </c>
      <c r="I244" s="188">
        <f t="shared" si="47"/>
        <v>38.426032066345151</v>
      </c>
    </row>
    <row r="245" spans="1:23" x14ac:dyDescent="0.3">
      <c r="A245" s="8"/>
      <c r="B245" s="8"/>
      <c r="C245" s="11"/>
      <c r="D245" s="11"/>
      <c r="E245" s="11"/>
      <c r="F245" s="11"/>
      <c r="G245" s="11"/>
      <c r="H245" s="11"/>
      <c r="I245" s="8"/>
    </row>
    <row r="246" spans="1:23" x14ac:dyDescent="0.3">
      <c r="U246" s="187"/>
      <c r="W246" s="187"/>
    </row>
    <row r="247" spans="1:23" x14ac:dyDescent="0.3">
      <c r="U247" s="187"/>
      <c r="W247" s="187"/>
    </row>
    <row r="248" spans="1:23" x14ac:dyDescent="0.3">
      <c r="A248" s="5" t="s">
        <v>13</v>
      </c>
      <c r="U248" s="187"/>
      <c r="W248" s="187"/>
    </row>
    <row r="249" spans="1:23" x14ac:dyDescent="0.3">
      <c r="A249" s="38" t="s">
        <v>189</v>
      </c>
      <c r="U249" s="187"/>
      <c r="W249" s="187"/>
    </row>
    <row r="250" spans="1:23" x14ac:dyDescent="0.3">
      <c r="U250" s="187"/>
      <c r="W250" s="187"/>
    </row>
    <row r="251" spans="1:23" x14ac:dyDescent="0.3">
      <c r="U251" s="187"/>
      <c r="W251" s="187"/>
    </row>
    <row r="252" spans="1:23" x14ac:dyDescent="0.3">
      <c r="U252" s="187"/>
      <c r="W252" s="187"/>
    </row>
    <row r="253" spans="1:23" x14ac:dyDescent="0.3">
      <c r="U253" s="187"/>
      <c r="W253" s="187"/>
    </row>
    <row r="254" spans="1:23" x14ac:dyDescent="0.3">
      <c r="U254" s="187"/>
      <c r="W254" s="187"/>
    </row>
    <row r="255" spans="1:23" x14ac:dyDescent="0.3">
      <c r="U255" s="187"/>
      <c r="W255" s="187"/>
    </row>
    <row r="256" spans="1:23" x14ac:dyDescent="0.3">
      <c r="U256" s="187"/>
      <c r="W256" s="187"/>
    </row>
    <row r="257" spans="21:23" x14ac:dyDescent="0.3">
      <c r="U257" s="187"/>
      <c r="W257" s="187"/>
    </row>
  </sheetData>
  <sheetProtection sheet="1" objects="1" scenarios="1"/>
  <dataValidations count="1">
    <dataValidation type="list" allowBlank="1" showInputMessage="1" showErrorMessage="1" sqref="B121" xr:uid="{B79D14F2-93B2-478F-B445-D8028A2F97B3}">
      <formula1>$N$126:$N$127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58" orientation="portrait" r:id="rId1"/>
  <rowBreaks count="7" manualBreakCount="7">
    <brk id="18" max="10" man="1"/>
    <brk id="51" max="10" man="1"/>
    <brk id="74" max="10" man="1"/>
    <brk id="117" max="10" man="1"/>
    <brk id="142" max="10" man="1"/>
    <brk id="164" max="10" man="1"/>
    <brk id="229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D954D-3CE7-49FE-9096-631FFBF26573}">
  <dimension ref="A1:AA68"/>
  <sheetViews>
    <sheetView view="pageBreakPreview" zoomScale="85" zoomScaleNormal="100" zoomScaleSheetLayoutView="85" workbookViewId="0">
      <selection activeCell="E47" sqref="E47"/>
    </sheetView>
  </sheetViews>
  <sheetFormatPr defaultColWidth="13.5546875" defaultRowHeight="14.4" x14ac:dyDescent="0.3"/>
  <cols>
    <col min="1" max="1" width="10.77734375" customWidth="1"/>
    <col min="3" max="12" width="10.77734375" customWidth="1"/>
    <col min="15" max="15" width="10.77734375" customWidth="1"/>
    <col min="17" max="26" width="10.77734375" customWidth="1"/>
    <col min="27" max="27" width="13.5546875" collapsed="1"/>
  </cols>
  <sheetData>
    <row r="1" spans="1:27" x14ac:dyDescent="0.3">
      <c r="A1" s="2" t="s">
        <v>125</v>
      </c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O1" s="2" t="s">
        <v>305</v>
      </c>
      <c r="P1" s="2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x14ac:dyDescent="0.3">
      <c r="A3" s="2" t="str">
        <f>CompanyName</f>
        <v>Company ABC</v>
      </c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O3" s="2" t="str">
        <f>CompanyName</f>
        <v>Company ABC</v>
      </c>
      <c r="P3" s="2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x14ac:dyDescent="0.3">
      <c r="A4" s="1" t="s">
        <v>140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O4" s="1" t="s">
        <v>140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3">
      <c r="A5" s="1" t="s">
        <v>141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O5" s="1" t="s">
        <v>141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3">
      <c r="A7" s="1" t="str">
        <f>"As at "&amp;TEXT(ValDate,"mmmm dd, yyyy")</f>
        <v>As at December 31, 2022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O7" s="1" t="str">
        <f>"As at "&amp;TEXT(ValDate-365,"mmmm dd, yyyy")</f>
        <v>As at December 31, 2021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s="9" customFormat="1" x14ac:dyDescent="0.3"/>
    <row r="9" spans="1:27" s="9" customFormat="1" x14ac:dyDescent="0.3">
      <c r="A9" s="28"/>
      <c r="O9" s="28"/>
    </row>
    <row r="10" spans="1:27" x14ac:dyDescent="0.3">
      <c r="A10" s="39"/>
      <c r="B10" s="6" t="s">
        <v>14</v>
      </c>
      <c r="C10" s="6" t="s">
        <v>204</v>
      </c>
      <c r="D10" s="6" t="s">
        <v>205</v>
      </c>
      <c r="E10" s="6" t="s">
        <v>206</v>
      </c>
      <c r="F10" s="6" t="s">
        <v>207</v>
      </c>
      <c r="G10" s="6" t="s">
        <v>208</v>
      </c>
      <c r="H10" s="6" t="s">
        <v>209</v>
      </c>
      <c r="I10" s="6" t="s">
        <v>210</v>
      </c>
      <c r="J10" s="6" t="s">
        <v>211</v>
      </c>
      <c r="K10" s="6" t="s">
        <v>212</v>
      </c>
      <c r="L10" s="6" t="s">
        <v>213</v>
      </c>
      <c r="M10" s="6" t="s">
        <v>16</v>
      </c>
      <c r="O10" s="39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7" x14ac:dyDescent="0.3">
      <c r="A11" s="40" t="s">
        <v>9</v>
      </c>
      <c r="B11" s="3" t="s">
        <v>11</v>
      </c>
      <c r="C11" s="13" t="s">
        <v>138</v>
      </c>
      <c r="D11" s="13"/>
      <c r="E11" s="13"/>
      <c r="F11" s="13"/>
      <c r="G11" s="13"/>
      <c r="H11" s="13"/>
      <c r="I11" s="13"/>
      <c r="J11" s="13"/>
      <c r="K11" s="13"/>
      <c r="L11" s="13"/>
      <c r="M11" s="3" t="s">
        <v>21</v>
      </c>
      <c r="O11" s="40" t="s">
        <v>9</v>
      </c>
      <c r="P11" s="3" t="s">
        <v>11</v>
      </c>
      <c r="Q11" s="13" t="s">
        <v>138</v>
      </c>
      <c r="R11" s="13"/>
      <c r="S11" s="13"/>
      <c r="T11" s="13"/>
      <c r="U11" s="13"/>
      <c r="V11" s="13"/>
      <c r="W11" s="13"/>
      <c r="X11" s="13"/>
      <c r="Y11" s="13"/>
      <c r="Z11" s="13"/>
      <c r="AA11" s="3" t="s">
        <v>21</v>
      </c>
    </row>
    <row r="12" spans="1:27" x14ac:dyDescent="0.3">
      <c r="A12" s="24" t="s">
        <v>10</v>
      </c>
      <c r="B12" s="7" t="s">
        <v>12</v>
      </c>
      <c r="C12" s="7">
        <f>YEAR(ValDate)+1</f>
        <v>2023</v>
      </c>
      <c r="D12" s="7">
        <f>+C12+1</f>
        <v>2024</v>
      </c>
      <c r="E12" s="7">
        <f t="shared" ref="E12:L12" si="0">+D12+1</f>
        <v>2025</v>
      </c>
      <c r="F12" s="7">
        <f t="shared" si="0"/>
        <v>2026</v>
      </c>
      <c r="G12" s="7">
        <f t="shared" si="0"/>
        <v>2027</v>
      </c>
      <c r="H12" s="7">
        <f t="shared" si="0"/>
        <v>2028</v>
      </c>
      <c r="I12" s="7">
        <f t="shared" si="0"/>
        <v>2029</v>
      </c>
      <c r="J12" s="7">
        <f t="shared" si="0"/>
        <v>2030</v>
      </c>
      <c r="K12" s="7">
        <f t="shared" si="0"/>
        <v>2031</v>
      </c>
      <c r="L12" s="7">
        <f t="shared" si="0"/>
        <v>2032</v>
      </c>
      <c r="M12" s="7" t="s">
        <v>12</v>
      </c>
      <c r="O12" s="24" t="s">
        <v>10</v>
      </c>
      <c r="P12" s="7" t="s">
        <v>12</v>
      </c>
      <c r="Q12" s="7">
        <f>YEAR(ValDate)+1</f>
        <v>2023</v>
      </c>
      <c r="R12" s="7">
        <f>+Q12+1</f>
        <v>2024</v>
      </c>
      <c r="S12" s="7">
        <f t="shared" ref="S12" si="1">+R12+1</f>
        <v>2025</v>
      </c>
      <c r="T12" s="7">
        <f t="shared" ref="T12" si="2">+S12+1</f>
        <v>2026</v>
      </c>
      <c r="U12" s="7">
        <f t="shared" ref="U12" si="3">+T12+1</f>
        <v>2027</v>
      </c>
      <c r="V12" s="7">
        <f t="shared" ref="V12" si="4">+U12+1</f>
        <v>2028</v>
      </c>
      <c r="W12" s="7">
        <f t="shared" ref="W12" si="5">+V12+1</f>
        <v>2029</v>
      </c>
      <c r="X12" s="7">
        <f t="shared" ref="X12" si="6">+W12+1</f>
        <v>2030</v>
      </c>
      <c r="Y12" s="7">
        <f t="shared" ref="Y12" si="7">+X12+1</f>
        <v>2031</v>
      </c>
      <c r="Z12" s="7">
        <f t="shared" ref="Z12" si="8">+Y12+1</f>
        <v>2032</v>
      </c>
      <c r="AA12" s="7" t="s">
        <v>12</v>
      </c>
    </row>
    <row r="13" spans="1:27" x14ac:dyDescent="0.3">
      <c r="A13" s="102">
        <f t="shared" ref="A13:A21" si="9">A14-1</f>
        <v>2012</v>
      </c>
      <c r="B13" s="16">
        <v>0</v>
      </c>
      <c r="C13" s="10">
        <f>$B13*'1-Payment Pattern'!E16</f>
        <v>0</v>
      </c>
      <c r="D13" s="10">
        <f>$B13*'1-Payment Pattern'!F16</f>
        <v>0</v>
      </c>
      <c r="E13" s="10">
        <f>$B13*'1-Payment Pattern'!G16</f>
        <v>0</v>
      </c>
      <c r="F13" s="10">
        <f>$B13*'1-Payment Pattern'!H16</f>
        <v>0</v>
      </c>
      <c r="G13" s="10">
        <f>$B13*'1-Payment Pattern'!I16</f>
        <v>0</v>
      </c>
      <c r="H13" s="10">
        <f>$B13*'1-Payment Pattern'!J16</f>
        <v>0</v>
      </c>
      <c r="I13" s="10">
        <f>$B13*'1-Payment Pattern'!K16</f>
        <v>0</v>
      </c>
      <c r="J13" s="10">
        <f>$B13*'1-Payment Pattern'!L16</f>
        <v>0</v>
      </c>
      <c r="K13" s="10">
        <f>$B13*'1-Payment Pattern'!M16</f>
        <v>0</v>
      </c>
      <c r="L13" s="10">
        <f>$B13*'1-Payment Pattern'!N16</f>
        <v>0</v>
      </c>
      <c r="M13" s="20">
        <f t="shared" ref="M13:M23" si="10">SUMPRODUCT(C13:L13,$C$54:$L$54)</f>
        <v>0</v>
      </c>
      <c r="O13" s="102">
        <f t="shared" ref="O13:O21" si="11">O14-1</f>
        <v>2012</v>
      </c>
      <c r="P13" s="16">
        <v>0</v>
      </c>
      <c r="Q13" s="36">
        <f>$P13*'1-Payment Pattern'!E17</f>
        <v>0</v>
      </c>
      <c r="R13" s="36">
        <f>$P13*'1-Payment Pattern'!F17</f>
        <v>0</v>
      </c>
      <c r="S13" s="36">
        <f>$P13*'1-Payment Pattern'!G17</f>
        <v>0</v>
      </c>
      <c r="T13" s="36">
        <f>$P13*'1-Payment Pattern'!H17</f>
        <v>0</v>
      </c>
      <c r="U13" s="36">
        <f>$P13*'1-Payment Pattern'!I17</f>
        <v>0</v>
      </c>
      <c r="V13" s="36">
        <f>$P13*'1-Payment Pattern'!J17</f>
        <v>0</v>
      </c>
      <c r="W13" s="36">
        <f>$P13*'1-Payment Pattern'!K17</f>
        <v>0</v>
      </c>
      <c r="X13" s="36">
        <f>$P13*'1-Payment Pattern'!L17</f>
        <v>0</v>
      </c>
      <c r="Y13" s="36">
        <f>$P13*'1-Payment Pattern'!M17</f>
        <v>0</v>
      </c>
      <c r="Z13" s="36">
        <f>$P13*'1-Payment Pattern'!N17</f>
        <v>0</v>
      </c>
      <c r="AA13" s="20">
        <f t="shared" ref="AA13:AA23" si="12">SUMPRODUCT(Q13:Z13,$Q$54:$Z$54)</f>
        <v>0</v>
      </c>
    </row>
    <row r="14" spans="1:27" x14ac:dyDescent="0.3">
      <c r="A14" s="102">
        <f t="shared" si="9"/>
        <v>2013</v>
      </c>
      <c r="B14" s="16">
        <v>45264</v>
      </c>
      <c r="C14" s="10">
        <f>$B14*'1-Payment Pattern'!E17</f>
        <v>45264</v>
      </c>
      <c r="D14" s="10">
        <f>$B14*'1-Payment Pattern'!F17</f>
        <v>0</v>
      </c>
      <c r="E14" s="10">
        <f>$B14*'1-Payment Pattern'!G17</f>
        <v>0</v>
      </c>
      <c r="F14" s="10">
        <f>$B14*'1-Payment Pattern'!H17</f>
        <v>0</v>
      </c>
      <c r="G14" s="10">
        <f>$B14*'1-Payment Pattern'!I17</f>
        <v>0</v>
      </c>
      <c r="H14" s="10">
        <f>$B14*'1-Payment Pattern'!J17</f>
        <v>0</v>
      </c>
      <c r="I14" s="10">
        <f>$B14*'1-Payment Pattern'!K17</f>
        <v>0</v>
      </c>
      <c r="J14" s="10">
        <f>$B14*'1-Payment Pattern'!L17</f>
        <v>0</v>
      </c>
      <c r="K14" s="10">
        <f>$B14*'1-Payment Pattern'!M17</f>
        <v>0</v>
      </c>
      <c r="L14" s="10">
        <f>$B14*'1-Payment Pattern'!N17</f>
        <v>0</v>
      </c>
      <c r="M14" s="20">
        <f t="shared" si="10"/>
        <v>44732.769966953281</v>
      </c>
      <c r="O14" s="102">
        <f t="shared" si="11"/>
        <v>2013</v>
      </c>
      <c r="P14" s="16">
        <v>161310.26462534757</v>
      </c>
      <c r="Q14" s="36">
        <f>$P14*'1-Payment Pattern'!E18</f>
        <v>161310.26462534742</v>
      </c>
      <c r="R14" s="36">
        <f>$P14*'1-Payment Pattern'!F18</f>
        <v>0</v>
      </c>
      <c r="S14" s="36">
        <f>$P14*'1-Payment Pattern'!G18</f>
        <v>0</v>
      </c>
      <c r="T14" s="36">
        <f>$P14*'1-Payment Pattern'!H18</f>
        <v>0</v>
      </c>
      <c r="U14" s="36">
        <f>$P14*'1-Payment Pattern'!I18</f>
        <v>0</v>
      </c>
      <c r="V14" s="36">
        <f>$P14*'1-Payment Pattern'!J18</f>
        <v>0</v>
      </c>
      <c r="W14" s="36">
        <f>$P14*'1-Payment Pattern'!K18</f>
        <v>0</v>
      </c>
      <c r="X14" s="36">
        <f>$P14*'1-Payment Pattern'!L18</f>
        <v>0</v>
      </c>
      <c r="Y14" s="36">
        <f>$P14*'1-Payment Pattern'!M18</f>
        <v>0</v>
      </c>
      <c r="Z14" s="36">
        <f>$P14*'1-Payment Pattern'!N18</f>
        <v>0</v>
      </c>
      <c r="AA14" s="20">
        <f t="shared" si="12"/>
        <v>159378.1755295386</v>
      </c>
    </row>
    <row r="15" spans="1:27" x14ac:dyDescent="0.3">
      <c r="A15" s="102">
        <f t="shared" si="9"/>
        <v>2014</v>
      </c>
      <c r="B15" s="16">
        <v>177489</v>
      </c>
      <c r="C15" s="10">
        <f>$B15*'1-Payment Pattern'!E18</f>
        <v>177488.99999999985</v>
      </c>
      <c r="D15" s="10">
        <f>$B15*'1-Payment Pattern'!F18</f>
        <v>0</v>
      </c>
      <c r="E15" s="10">
        <f>$B15*'1-Payment Pattern'!G18</f>
        <v>0</v>
      </c>
      <c r="F15" s="10">
        <f>$B15*'1-Payment Pattern'!H18</f>
        <v>0</v>
      </c>
      <c r="G15" s="10">
        <f>$B15*'1-Payment Pattern'!I18</f>
        <v>0</v>
      </c>
      <c r="H15" s="10">
        <f>$B15*'1-Payment Pattern'!J18</f>
        <v>0</v>
      </c>
      <c r="I15" s="10">
        <f>$B15*'1-Payment Pattern'!K18</f>
        <v>0</v>
      </c>
      <c r="J15" s="10">
        <f>$B15*'1-Payment Pattern'!L18</f>
        <v>0</v>
      </c>
      <c r="K15" s="10">
        <f>$B15*'1-Payment Pattern'!M18</f>
        <v>0</v>
      </c>
      <c r="L15" s="10">
        <f>$B15*'1-Payment Pattern'!N18</f>
        <v>0</v>
      </c>
      <c r="M15" s="20">
        <f t="shared" si="10"/>
        <v>175405.94310411287</v>
      </c>
      <c r="O15" s="102">
        <f t="shared" si="11"/>
        <v>2014</v>
      </c>
      <c r="P15" s="16">
        <v>759015.3818350971</v>
      </c>
      <c r="Q15" s="36">
        <f>$P15*'1-Payment Pattern'!E19</f>
        <v>379507.6909175482</v>
      </c>
      <c r="R15" s="36">
        <f>$P15*'1-Payment Pattern'!F19</f>
        <v>379507.6909175482</v>
      </c>
      <c r="S15" s="36">
        <f>$P15*'1-Payment Pattern'!G19</f>
        <v>0</v>
      </c>
      <c r="T15" s="36">
        <f>$P15*'1-Payment Pattern'!H19</f>
        <v>0</v>
      </c>
      <c r="U15" s="36">
        <f>$P15*'1-Payment Pattern'!I19</f>
        <v>0</v>
      </c>
      <c r="V15" s="36">
        <f>$P15*'1-Payment Pattern'!J19</f>
        <v>0</v>
      </c>
      <c r="W15" s="36">
        <f>$P15*'1-Payment Pattern'!K19</f>
        <v>0</v>
      </c>
      <c r="X15" s="36">
        <f>$P15*'1-Payment Pattern'!L19</f>
        <v>0</v>
      </c>
      <c r="Y15" s="36">
        <f>$P15*'1-Payment Pattern'!M19</f>
        <v>0</v>
      </c>
      <c r="Z15" s="36">
        <f>$P15*'1-Payment Pattern'!N19</f>
        <v>0</v>
      </c>
      <c r="AA15" s="20">
        <f t="shared" si="12"/>
        <v>740450.03545701317</v>
      </c>
    </row>
    <row r="16" spans="1:27" x14ac:dyDescent="0.3">
      <c r="A16" s="102">
        <f t="shared" si="9"/>
        <v>2015</v>
      </c>
      <c r="B16" s="16">
        <v>782296</v>
      </c>
      <c r="C16" s="10">
        <f>$B16*'1-Payment Pattern'!E19</f>
        <v>391147.99999999965</v>
      </c>
      <c r="D16" s="10">
        <f>$B16*'1-Payment Pattern'!F19</f>
        <v>391147.99999999965</v>
      </c>
      <c r="E16" s="10">
        <f>$B16*'1-Payment Pattern'!G19</f>
        <v>0</v>
      </c>
      <c r="F16" s="10">
        <f>$B16*'1-Payment Pattern'!H19</f>
        <v>0</v>
      </c>
      <c r="G16" s="10">
        <f>$B16*'1-Payment Pattern'!I19</f>
        <v>0</v>
      </c>
      <c r="H16" s="10">
        <f>$B16*'1-Payment Pattern'!J19</f>
        <v>0</v>
      </c>
      <c r="I16" s="10">
        <f>$B16*'1-Payment Pattern'!K19</f>
        <v>0</v>
      </c>
      <c r="J16" s="10">
        <f>$B16*'1-Payment Pattern'!L19</f>
        <v>0</v>
      </c>
      <c r="K16" s="10">
        <f>$B16*'1-Payment Pattern'!M19</f>
        <v>0</v>
      </c>
      <c r="L16" s="10">
        <f>$B16*'1-Payment Pattern'!N19</f>
        <v>0</v>
      </c>
      <c r="M16" s="20">
        <f t="shared" si="10"/>
        <v>763531.25474294065</v>
      </c>
      <c r="O16" s="102">
        <f t="shared" si="11"/>
        <v>2015</v>
      </c>
      <c r="P16" s="16">
        <v>841382.87164158828</v>
      </c>
      <c r="Q16" s="36">
        <f>$P16*'1-Payment Pattern'!E20</f>
        <v>420691.43582079379</v>
      </c>
      <c r="R16" s="36">
        <f>$P16*'1-Payment Pattern'!F20</f>
        <v>210345.7179103969</v>
      </c>
      <c r="S16" s="36">
        <f>$P16*'1-Payment Pattern'!G20</f>
        <v>210345.7179103969</v>
      </c>
      <c r="T16" s="36">
        <f>$P16*'1-Payment Pattern'!H20</f>
        <v>0</v>
      </c>
      <c r="U16" s="36">
        <f>$P16*'1-Payment Pattern'!I20</f>
        <v>0</v>
      </c>
      <c r="V16" s="36">
        <f>$P16*'1-Payment Pattern'!J20</f>
        <v>0</v>
      </c>
      <c r="W16" s="36">
        <f>$P16*'1-Payment Pattern'!K20</f>
        <v>0</v>
      </c>
      <c r="X16" s="36">
        <f>$P16*'1-Payment Pattern'!L20</f>
        <v>0</v>
      </c>
      <c r="Y16" s="36">
        <f>$P16*'1-Payment Pattern'!M20</f>
        <v>0</v>
      </c>
      <c r="Z16" s="36">
        <f>$P16*'1-Payment Pattern'!N20</f>
        <v>0</v>
      </c>
      <c r="AA16" s="20">
        <f t="shared" si="12"/>
        <v>815215.60955186537</v>
      </c>
    </row>
    <row r="17" spans="1:27" x14ac:dyDescent="0.3">
      <c r="A17" s="102">
        <f t="shared" si="9"/>
        <v>2016</v>
      </c>
      <c r="B17" s="16">
        <v>838383</v>
      </c>
      <c r="C17" s="10">
        <f>$B17*'1-Payment Pattern'!E20</f>
        <v>419191.49999999965</v>
      </c>
      <c r="D17" s="10">
        <f>$B17*'1-Payment Pattern'!F20</f>
        <v>209595.74999999983</v>
      </c>
      <c r="E17" s="10">
        <f>$B17*'1-Payment Pattern'!G20</f>
        <v>209595.74999999983</v>
      </c>
      <c r="F17" s="10">
        <f>$B17*'1-Payment Pattern'!H20</f>
        <v>0</v>
      </c>
      <c r="G17" s="10">
        <f>$B17*'1-Payment Pattern'!I20</f>
        <v>0</v>
      </c>
      <c r="H17" s="10">
        <f>$B17*'1-Payment Pattern'!J20</f>
        <v>0</v>
      </c>
      <c r="I17" s="10">
        <f>$B17*'1-Payment Pattern'!K20</f>
        <v>0</v>
      </c>
      <c r="J17" s="10">
        <f>$B17*'1-Payment Pattern'!L20</f>
        <v>0</v>
      </c>
      <c r="K17" s="10">
        <f>$B17*'1-Payment Pattern'!M20</f>
        <v>0</v>
      </c>
      <c r="L17" s="10">
        <f>$B17*'1-Payment Pattern'!N20</f>
        <v>0</v>
      </c>
      <c r="M17" s="20">
        <f t="shared" si="10"/>
        <v>812797.08227740345</v>
      </c>
      <c r="O17" s="102">
        <f t="shared" si="11"/>
        <v>2016</v>
      </c>
      <c r="P17" s="16">
        <v>1382415.8349884809</v>
      </c>
      <c r="Q17" s="36">
        <f>$P17*'1-Payment Pattern'!E21</f>
        <v>460805.27832949325</v>
      </c>
      <c r="R17" s="36">
        <f>$P17*'1-Payment Pattern'!F21</f>
        <v>460805.27832949325</v>
      </c>
      <c r="S17" s="36">
        <f>$P17*'1-Payment Pattern'!G21</f>
        <v>230402.63916474662</v>
      </c>
      <c r="T17" s="36">
        <f>$P17*'1-Payment Pattern'!H21</f>
        <v>230402.63916474662</v>
      </c>
      <c r="U17" s="36">
        <f>$P17*'1-Payment Pattern'!I21</f>
        <v>0</v>
      </c>
      <c r="V17" s="36">
        <f>$P17*'1-Payment Pattern'!J21</f>
        <v>0</v>
      </c>
      <c r="W17" s="36">
        <f>$P17*'1-Payment Pattern'!K21</f>
        <v>0</v>
      </c>
      <c r="X17" s="36">
        <f>$P17*'1-Payment Pattern'!L21</f>
        <v>0</v>
      </c>
      <c r="Y17" s="36">
        <f>$P17*'1-Payment Pattern'!M21</f>
        <v>0</v>
      </c>
      <c r="Z17" s="36">
        <f>$P17*'1-Payment Pattern'!N21</f>
        <v>0</v>
      </c>
      <c r="AA17" s="20">
        <f t="shared" si="12"/>
        <v>1323858.8098319343</v>
      </c>
    </row>
    <row r="18" spans="1:27" x14ac:dyDescent="0.3">
      <c r="A18" s="102">
        <f t="shared" si="9"/>
        <v>2017</v>
      </c>
      <c r="B18" s="16">
        <v>1197301</v>
      </c>
      <c r="C18" s="10">
        <f>$B18*'1-Payment Pattern'!E21</f>
        <v>399100.33333333296</v>
      </c>
      <c r="D18" s="10">
        <f>$B18*'1-Payment Pattern'!F21</f>
        <v>399100.33333333296</v>
      </c>
      <c r="E18" s="10">
        <f>$B18*'1-Payment Pattern'!G21</f>
        <v>199550.16666666648</v>
      </c>
      <c r="F18" s="10">
        <f>$B18*'1-Payment Pattern'!H21</f>
        <v>199550.16666666648</v>
      </c>
      <c r="G18" s="10">
        <f>$B18*'1-Payment Pattern'!I21</f>
        <v>0</v>
      </c>
      <c r="H18" s="10">
        <f>$B18*'1-Payment Pattern'!J21</f>
        <v>0</v>
      </c>
      <c r="I18" s="10">
        <f>$B18*'1-Payment Pattern'!K21</f>
        <v>0</v>
      </c>
      <c r="J18" s="10">
        <f>$B18*'1-Payment Pattern'!L21</f>
        <v>0</v>
      </c>
      <c r="K18" s="10">
        <f>$B18*'1-Payment Pattern'!M21</f>
        <v>0</v>
      </c>
      <c r="L18" s="10">
        <f>$B18*'1-Payment Pattern'!N21</f>
        <v>0</v>
      </c>
      <c r="M18" s="20">
        <f t="shared" si="10"/>
        <v>1147498.906352709</v>
      </c>
      <c r="O18" s="102">
        <f t="shared" si="11"/>
        <v>2017</v>
      </c>
      <c r="P18" s="16">
        <v>6344258.9423610773</v>
      </c>
      <c r="Q18" s="36">
        <f>$P18*'1-Payment Pattern'!E22</f>
        <v>2114752.9807870248</v>
      </c>
      <c r="R18" s="36">
        <f>$P18*'1-Payment Pattern'!F22</f>
        <v>1409835.3205246835</v>
      </c>
      <c r="S18" s="36">
        <f>$P18*'1-Payment Pattern'!G22</f>
        <v>1409835.3205246835</v>
      </c>
      <c r="T18" s="36">
        <f>$P18*'1-Payment Pattern'!H22</f>
        <v>704917.66026234173</v>
      </c>
      <c r="U18" s="36">
        <f>$P18*'1-Payment Pattern'!I22</f>
        <v>704917.66026234173</v>
      </c>
      <c r="V18" s="36">
        <f>$P18*'1-Payment Pattern'!J22</f>
        <v>0</v>
      </c>
      <c r="W18" s="36">
        <f>$P18*'1-Payment Pattern'!K22</f>
        <v>0</v>
      </c>
      <c r="X18" s="36">
        <f>$P18*'1-Payment Pattern'!L22</f>
        <v>0</v>
      </c>
      <c r="Y18" s="36">
        <f>$P18*'1-Payment Pattern'!M22</f>
        <v>0</v>
      </c>
      <c r="Z18" s="36">
        <f>$P18*'1-Payment Pattern'!N22</f>
        <v>0</v>
      </c>
      <c r="AA18" s="20">
        <f t="shared" si="12"/>
        <v>6027240.0837487839</v>
      </c>
    </row>
    <row r="19" spans="1:27" x14ac:dyDescent="0.3">
      <c r="A19" s="102">
        <f t="shared" si="9"/>
        <v>2018</v>
      </c>
      <c r="B19" s="16">
        <v>5935326</v>
      </c>
      <c r="C19" s="10">
        <f>$B19*'1-Payment Pattern'!E22</f>
        <v>1978441.9999999993</v>
      </c>
      <c r="D19" s="10">
        <f>$B19*'1-Payment Pattern'!F22</f>
        <v>1318961.333333333</v>
      </c>
      <c r="E19" s="10">
        <f>$B19*'1-Payment Pattern'!G22</f>
        <v>1318961.333333333</v>
      </c>
      <c r="F19" s="10">
        <f>$B19*'1-Payment Pattern'!H22</f>
        <v>659480.66666666651</v>
      </c>
      <c r="G19" s="10">
        <f>$B19*'1-Payment Pattern'!I22</f>
        <v>659480.66666666651</v>
      </c>
      <c r="H19" s="10">
        <f>$B19*'1-Payment Pattern'!J22</f>
        <v>0</v>
      </c>
      <c r="I19" s="10">
        <f>$B19*'1-Payment Pattern'!K22</f>
        <v>0</v>
      </c>
      <c r="J19" s="10">
        <f>$B19*'1-Payment Pattern'!L22</f>
        <v>0</v>
      </c>
      <c r="K19" s="10">
        <f>$B19*'1-Payment Pattern'!M22</f>
        <v>0</v>
      </c>
      <c r="L19" s="10">
        <f>$B19*'1-Payment Pattern'!N22</f>
        <v>0</v>
      </c>
      <c r="M19" s="20">
        <f t="shared" si="10"/>
        <v>5643943.5269552395</v>
      </c>
      <c r="O19" s="102">
        <f t="shared" si="11"/>
        <v>2018</v>
      </c>
      <c r="P19" s="16">
        <v>2373970.9030805328</v>
      </c>
      <c r="Q19" s="36">
        <f>$P19*'1-Payment Pattern'!E23</f>
        <v>593492.72577013308</v>
      </c>
      <c r="R19" s="36">
        <f>$P19*'1-Payment Pattern'!F23</f>
        <v>593492.72577013308</v>
      </c>
      <c r="S19" s="36">
        <f>$P19*'1-Payment Pattern'!G23</f>
        <v>395661.81718008878</v>
      </c>
      <c r="T19" s="36">
        <f>$P19*'1-Payment Pattern'!H23</f>
        <v>395661.81718008878</v>
      </c>
      <c r="U19" s="36">
        <f>$P19*'1-Payment Pattern'!I23</f>
        <v>197830.90859004439</v>
      </c>
      <c r="V19" s="36">
        <f>$P19*'1-Payment Pattern'!J23</f>
        <v>197830.90859004439</v>
      </c>
      <c r="W19" s="36">
        <f>$P19*'1-Payment Pattern'!K23</f>
        <v>0</v>
      </c>
      <c r="X19" s="36">
        <f>$P19*'1-Payment Pattern'!L23</f>
        <v>0</v>
      </c>
      <c r="Y19" s="36">
        <f>$P19*'1-Payment Pattern'!M23</f>
        <v>0</v>
      </c>
      <c r="Z19" s="36">
        <f>$P19*'1-Payment Pattern'!N23</f>
        <v>0</v>
      </c>
      <c r="AA19" s="20">
        <f t="shared" si="12"/>
        <v>2230132.3346109921</v>
      </c>
    </row>
    <row r="20" spans="1:27" x14ac:dyDescent="0.3">
      <c r="A20" s="102">
        <f t="shared" si="9"/>
        <v>2019</v>
      </c>
      <c r="B20" s="16">
        <v>2441801</v>
      </c>
      <c r="C20" s="10">
        <f>$B20*'1-Payment Pattern'!E23</f>
        <v>610450.24999999988</v>
      </c>
      <c r="D20" s="10">
        <f>$B20*'1-Payment Pattern'!F23</f>
        <v>610450.24999999988</v>
      </c>
      <c r="E20" s="10">
        <f>$B20*'1-Payment Pattern'!G23</f>
        <v>406966.83333333331</v>
      </c>
      <c r="F20" s="10">
        <f>$B20*'1-Payment Pattern'!H23</f>
        <v>406966.83333333331</v>
      </c>
      <c r="G20" s="10">
        <f>$B20*'1-Payment Pattern'!I23</f>
        <v>203483.41666666666</v>
      </c>
      <c r="H20" s="10">
        <f>$B20*'1-Payment Pattern'!J23</f>
        <v>203483.41666666666</v>
      </c>
      <c r="I20" s="10">
        <f>$B20*'1-Payment Pattern'!K23</f>
        <v>0</v>
      </c>
      <c r="J20" s="10">
        <f>$B20*'1-Payment Pattern'!L23</f>
        <v>0</v>
      </c>
      <c r="K20" s="10">
        <f>$B20*'1-Payment Pattern'!M23</f>
        <v>0</v>
      </c>
      <c r="L20" s="10">
        <f>$B20*'1-Payment Pattern'!N23</f>
        <v>0</v>
      </c>
      <c r="M20" s="20">
        <f t="shared" si="10"/>
        <v>2296379.7841712502</v>
      </c>
      <c r="O20" s="102">
        <f t="shared" si="11"/>
        <v>2019</v>
      </c>
      <c r="P20" s="16">
        <v>6363876.1952190734</v>
      </c>
      <c r="Q20" s="36">
        <f>$P20*'1-Payment Pattern'!E24</f>
        <v>1590969.0488047684</v>
      </c>
      <c r="R20" s="36">
        <f>$P20*'1-Payment Pattern'!F24</f>
        <v>1193226.786603576</v>
      </c>
      <c r="S20" s="36">
        <f>$P20*'1-Payment Pattern'!G24</f>
        <v>1193226.786603576</v>
      </c>
      <c r="T20" s="36">
        <f>$P20*'1-Payment Pattern'!H24</f>
        <v>795484.52440238418</v>
      </c>
      <c r="U20" s="36">
        <f>$P20*'1-Payment Pattern'!I24</f>
        <v>795484.52440238418</v>
      </c>
      <c r="V20" s="36">
        <f>$P20*'1-Payment Pattern'!J24</f>
        <v>397742.26220119209</v>
      </c>
      <c r="W20" s="36">
        <f>$P20*'1-Payment Pattern'!K24</f>
        <v>397742.26220119209</v>
      </c>
      <c r="X20" s="36">
        <f>$P20*'1-Payment Pattern'!L24</f>
        <v>0</v>
      </c>
      <c r="Y20" s="36">
        <f>$P20*'1-Payment Pattern'!M24</f>
        <v>0</v>
      </c>
      <c r="Z20" s="36">
        <f>$P20*'1-Payment Pattern'!N24</f>
        <v>0</v>
      </c>
      <c r="AA20" s="20">
        <f t="shared" si="12"/>
        <v>5927160.179966527</v>
      </c>
    </row>
    <row r="21" spans="1:27" x14ac:dyDescent="0.3">
      <c r="A21" s="102">
        <f t="shared" si="9"/>
        <v>2020</v>
      </c>
      <c r="B21" s="16">
        <v>5596324</v>
      </c>
      <c r="C21" s="10">
        <f>$B21*'1-Payment Pattern'!E24</f>
        <v>1399081</v>
      </c>
      <c r="D21" s="10">
        <f>$B21*'1-Payment Pattern'!F24</f>
        <v>1049310.7499999998</v>
      </c>
      <c r="E21" s="10">
        <f>$B21*'1-Payment Pattern'!G24</f>
        <v>1049310.7499999998</v>
      </c>
      <c r="F21" s="10">
        <f>$B21*'1-Payment Pattern'!H24</f>
        <v>699540.5</v>
      </c>
      <c r="G21" s="10">
        <f>$B21*'1-Payment Pattern'!I24</f>
        <v>699540.5</v>
      </c>
      <c r="H21" s="10">
        <f>$B21*'1-Payment Pattern'!J24</f>
        <v>349770.25</v>
      </c>
      <c r="I21" s="10">
        <f>$B21*'1-Payment Pattern'!K24</f>
        <v>349770.25</v>
      </c>
      <c r="J21" s="10">
        <f>$B21*'1-Payment Pattern'!L24</f>
        <v>0</v>
      </c>
      <c r="K21" s="10">
        <f>$B21*'1-Payment Pattern'!M24</f>
        <v>0</v>
      </c>
      <c r="L21" s="10">
        <f>$B21*'1-Payment Pattern'!N24</f>
        <v>0</v>
      </c>
      <c r="M21" s="20">
        <f t="shared" si="10"/>
        <v>5218693.8538844911</v>
      </c>
      <c r="O21" s="102">
        <f t="shared" si="11"/>
        <v>2020</v>
      </c>
      <c r="P21" s="16">
        <v>4946082.366368155</v>
      </c>
      <c r="Q21" s="36">
        <f>$P21*'1-Payment Pattern'!E25</f>
        <v>1348931.5544640422</v>
      </c>
      <c r="R21" s="36">
        <f>$P21*'1-Payment Pattern'!F25</f>
        <v>899287.7029760282</v>
      </c>
      <c r="S21" s="36">
        <f>$P21*'1-Payment Pattern'!G25</f>
        <v>674465.77723202109</v>
      </c>
      <c r="T21" s="36">
        <f>$P21*'1-Payment Pattern'!H25</f>
        <v>674465.77723202109</v>
      </c>
      <c r="U21" s="36">
        <f>$P21*'1-Payment Pattern'!I25</f>
        <v>449643.8514880141</v>
      </c>
      <c r="V21" s="36">
        <f>$P21*'1-Payment Pattern'!J25</f>
        <v>449643.8514880141</v>
      </c>
      <c r="W21" s="36">
        <f>$P21*'1-Payment Pattern'!K25</f>
        <v>224821.92574400705</v>
      </c>
      <c r="X21" s="36">
        <f>$P21*'1-Payment Pattern'!L25</f>
        <v>224821.92574400705</v>
      </c>
      <c r="Y21" s="36">
        <f>$P21*'1-Payment Pattern'!M25</f>
        <v>0</v>
      </c>
      <c r="Z21" s="36">
        <f>$P21*'1-Payment Pattern'!N25</f>
        <v>0</v>
      </c>
      <c r="AA21" s="20">
        <f t="shared" si="12"/>
        <v>4585786.418087068</v>
      </c>
    </row>
    <row r="22" spans="1:27" x14ac:dyDescent="0.3">
      <c r="A22" s="102">
        <f>A23-1</f>
        <v>2021</v>
      </c>
      <c r="B22" s="16">
        <v>4671431</v>
      </c>
      <c r="C22" s="10">
        <f>$B22*'1-Payment Pattern'!E25</f>
        <v>1274026.6363636362</v>
      </c>
      <c r="D22" s="10">
        <f>$B22*'1-Payment Pattern'!F25</f>
        <v>849351.09090909094</v>
      </c>
      <c r="E22" s="10">
        <f>$B22*'1-Payment Pattern'!G25</f>
        <v>637013.31818181812</v>
      </c>
      <c r="F22" s="10">
        <f>$B22*'1-Payment Pattern'!H25</f>
        <v>637013.31818181812</v>
      </c>
      <c r="G22" s="10">
        <f>$B22*'1-Payment Pattern'!I25</f>
        <v>424675.54545454547</v>
      </c>
      <c r="H22" s="10">
        <f>$B22*'1-Payment Pattern'!J25</f>
        <v>424675.54545454547</v>
      </c>
      <c r="I22" s="10">
        <f>$B22*'1-Payment Pattern'!K25</f>
        <v>212337.77272727274</v>
      </c>
      <c r="J22" s="10">
        <f>$B22*'1-Payment Pattern'!L25</f>
        <v>212337.77272727274</v>
      </c>
      <c r="K22" s="10">
        <f>$B22*'1-Payment Pattern'!M25</f>
        <v>0</v>
      </c>
      <c r="L22" s="10">
        <f>$B22*'1-Payment Pattern'!N25</f>
        <v>0</v>
      </c>
      <c r="M22" s="20">
        <f t="shared" si="10"/>
        <v>4336716.562553769</v>
      </c>
      <c r="O22" s="102">
        <f>O23-1</f>
        <v>2021</v>
      </c>
      <c r="P22" s="16">
        <v>7579438.2195123304</v>
      </c>
      <c r="Q22" s="36">
        <f>$P22*'1-Payment Pattern'!E26</f>
        <v>2021183.5252032881</v>
      </c>
      <c r="R22" s="36">
        <f>$P22*'1-Payment Pattern'!F26</f>
        <v>1515887.6439024659</v>
      </c>
      <c r="S22" s="36">
        <f>$P22*'1-Payment Pattern'!G26</f>
        <v>1010591.762601644</v>
      </c>
      <c r="T22" s="36">
        <f>$P22*'1-Payment Pattern'!H26</f>
        <v>757943.82195123297</v>
      </c>
      <c r="U22" s="36">
        <f>$P22*'1-Payment Pattern'!I26</f>
        <v>757943.82195123297</v>
      </c>
      <c r="V22" s="36">
        <f>$P22*'1-Payment Pattern'!J26</f>
        <v>505295.88130082202</v>
      </c>
      <c r="W22" s="36">
        <f>$P22*'1-Payment Pattern'!K26</f>
        <v>505295.88130082202</v>
      </c>
      <c r="X22" s="36">
        <f>$P22*'1-Payment Pattern'!L26</f>
        <v>252647.94065041101</v>
      </c>
      <c r="Y22" s="36">
        <f>$P22*'1-Payment Pattern'!M26</f>
        <v>252647.94065041101</v>
      </c>
      <c r="Z22" s="36">
        <f>$P22*'1-Payment Pattern'!N26</f>
        <v>0</v>
      </c>
      <c r="AA22" s="20">
        <f t="shared" si="12"/>
        <v>7000669.7979343142</v>
      </c>
    </row>
    <row r="23" spans="1:27" x14ac:dyDescent="0.3">
      <c r="A23" s="102">
        <f>YEAR(ValDate)</f>
        <v>2022</v>
      </c>
      <c r="B23" s="17">
        <v>6652201</v>
      </c>
      <c r="C23" s="10">
        <f>$B23*'1-Payment Pattern'!E26</f>
        <v>1773920.2666666666</v>
      </c>
      <c r="D23" s="10">
        <f>$B23*'1-Payment Pattern'!F26</f>
        <v>1330440.2</v>
      </c>
      <c r="E23" s="10">
        <f>$B23*'1-Payment Pattern'!G26</f>
        <v>886960.1333333333</v>
      </c>
      <c r="F23" s="10">
        <f>$B23*'1-Payment Pattern'!H26</f>
        <v>665220.1</v>
      </c>
      <c r="G23" s="10">
        <f>$B23*'1-Payment Pattern'!I26</f>
        <v>665220.1</v>
      </c>
      <c r="H23" s="10">
        <f>$B23*'1-Payment Pattern'!J26</f>
        <v>443480.06666666665</v>
      </c>
      <c r="I23" s="10">
        <f>$B23*'1-Payment Pattern'!K26</f>
        <v>443480.06666666665</v>
      </c>
      <c r="J23" s="10">
        <f>$B23*'1-Payment Pattern'!L26</f>
        <v>221740.03333333333</v>
      </c>
      <c r="K23" s="10">
        <f>$B23*'1-Payment Pattern'!M26</f>
        <v>221740.03333333333</v>
      </c>
      <c r="L23" s="10">
        <f>$B23*'1-Payment Pattern'!N26</f>
        <v>0</v>
      </c>
      <c r="M23" s="21">
        <f t="shared" si="10"/>
        <v>6152439.8395328578</v>
      </c>
      <c r="O23" s="102">
        <f>$A$23</f>
        <v>2022</v>
      </c>
      <c r="P23" s="17">
        <v>0</v>
      </c>
      <c r="Q23" s="36">
        <f>$P23*'1-Payment Pattern'!E27</f>
        <v>0</v>
      </c>
      <c r="R23" s="36">
        <f>$P23*'1-Payment Pattern'!F27</f>
        <v>0</v>
      </c>
      <c r="S23" s="36">
        <f>$P23*'1-Payment Pattern'!G27</f>
        <v>0</v>
      </c>
      <c r="T23" s="36">
        <f>$P23*'1-Payment Pattern'!H27</f>
        <v>0</v>
      </c>
      <c r="U23" s="36">
        <f>$P23*'1-Payment Pattern'!I27</f>
        <v>0</v>
      </c>
      <c r="V23" s="36">
        <f>$P23*'1-Payment Pattern'!J27</f>
        <v>0</v>
      </c>
      <c r="W23" s="36">
        <f>$P23*'1-Payment Pattern'!K27</f>
        <v>0</v>
      </c>
      <c r="X23" s="36">
        <f>$P23*'1-Payment Pattern'!L27</f>
        <v>0</v>
      </c>
      <c r="Y23" s="36">
        <f>$P23*'1-Payment Pattern'!M27</f>
        <v>0</v>
      </c>
      <c r="Z23" s="36">
        <f>$P23*'1-Payment Pattern'!N27</f>
        <v>0</v>
      </c>
      <c r="AA23" s="21">
        <f t="shared" si="12"/>
        <v>0</v>
      </c>
    </row>
    <row r="24" spans="1:27" x14ac:dyDescent="0.3">
      <c r="A24" s="8"/>
      <c r="B24" s="11">
        <f t="shared" ref="B24:M24" si="13">SUM(B13:B23)</f>
        <v>28337816</v>
      </c>
      <c r="C24" s="11">
        <f t="shared" si="13"/>
        <v>8468112.9863636345</v>
      </c>
      <c r="D24" s="11">
        <f t="shared" si="13"/>
        <v>6158357.7075757561</v>
      </c>
      <c r="E24" s="11">
        <f t="shared" si="13"/>
        <v>4708358.2848484833</v>
      </c>
      <c r="F24" s="11">
        <f t="shared" si="13"/>
        <v>3267771.5848484845</v>
      </c>
      <c r="G24" s="11">
        <f t="shared" si="13"/>
        <v>2652400.2287878785</v>
      </c>
      <c r="H24" s="11">
        <f t="shared" si="13"/>
        <v>1421409.2787878788</v>
      </c>
      <c r="I24" s="11">
        <f t="shared" si="13"/>
        <v>1005588.0893939394</v>
      </c>
      <c r="J24" s="11">
        <f t="shared" si="13"/>
        <v>434077.80606060603</v>
      </c>
      <c r="K24" s="11">
        <f t="shared" si="13"/>
        <v>221740.03333333333</v>
      </c>
      <c r="L24" s="11">
        <f t="shared" si="13"/>
        <v>0</v>
      </c>
      <c r="M24" s="11">
        <f t="shared" si="13"/>
        <v>26592139.523541726</v>
      </c>
      <c r="O24" s="8"/>
      <c r="P24" s="11">
        <f t="shared" ref="P24:AA24" si="14">SUM(P13:P23)</f>
        <v>30751750.979631685</v>
      </c>
      <c r="Q24" s="11">
        <f t="shared" si="14"/>
        <v>9091644.5047224388</v>
      </c>
      <c r="R24" s="11">
        <f t="shared" si="14"/>
        <v>6662388.8669343246</v>
      </c>
      <c r="S24" s="11">
        <f t="shared" si="14"/>
        <v>5124529.8212171569</v>
      </c>
      <c r="T24" s="11">
        <f t="shared" si="14"/>
        <v>3558876.2401928152</v>
      </c>
      <c r="U24" s="11">
        <f t="shared" si="14"/>
        <v>2905820.7666940172</v>
      </c>
      <c r="V24" s="11">
        <f t="shared" si="14"/>
        <v>1550512.9035800726</v>
      </c>
      <c r="W24" s="11">
        <f t="shared" si="14"/>
        <v>1127860.0692460211</v>
      </c>
      <c r="X24" s="11">
        <f t="shared" si="14"/>
        <v>477469.86639441806</v>
      </c>
      <c r="Y24" s="11">
        <f t="shared" si="14"/>
        <v>252647.94065041101</v>
      </c>
      <c r="Z24" s="11">
        <f t="shared" si="14"/>
        <v>0</v>
      </c>
      <c r="AA24" s="11">
        <f t="shared" si="14"/>
        <v>28809891.444718041</v>
      </c>
    </row>
    <row r="25" spans="1:27" x14ac:dyDescent="0.3">
      <c r="A25" s="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O25" s="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</row>
    <row r="26" spans="1:27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7" s="34" customFormat="1" x14ac:dyDescent="0.3">
      <c r="A27" s="81" t="s">
        <v>292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</row>
    <row r="29" spans="1:27" x14ac:dyDescent="0.3">
      <c r="A29" s="100"/>
      <c r="B29" s="6" t="s">
        <v>119</v>
      </c>
      <c r="C29" s="6" t="s">
        <v>154</v>
      </c>
      <c r="D29" s="6" t="s">
        <v>155</v>
      </c>
      <c r="E29" s="6" t="s">
        <v>156</v>
      </c>
      <c r="F29" s="6" t="s">
        <v>157</v>
      </c>
      <c r="G29" s="6" t="s">
        <v>158</v>
      </c>
      <c r="H29" s="6" t="s">
        <v>159</v>
      </c>
      <c r="I29" s="6" t="s">
        <v>160</v>
      </c>
      <c r="J29" s="6" t="s">
        <v>161</v>
      </c>
      <c r="K29" s="6" t="s">
        <v>162</v>
      </c>
      <c r="L29" s="6" t="s">
        <v>163</v>
      </c>
      <c r="M29" s="6" t="s">
        <v>121</v>
      </c>
      <c r="O29" s="100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7" x14ac:dyDescent="0.3">
      <c r="A30" s="76" t="s">
        <v>291</v>
      </c>
      <c r="B30" s="3" t="s">
        <v>11</v>
      </c>
      <c r="C30" s="13" t="s">
        <v>138</v>
      </c>
      <c r="D30" s="13"/>
      <c r="E30" s="13"/>
      <c r="F30" s="13"/>
      <c r="G30" s="13"/>
      <c r="H30" s="13"/>
      <c r="I30" s="13"/>
      <c r="J30" s="13"/>
      <c r="K30" s="13"/>
      <c r="L30" s="13"/>
      <c r="M30" s="3" t="s">
        <v>21</v>
      </c>
      <c r="O30" s="101" t="s">
        <v>9</v>
      </c>
      <c r="P30" s="3" t="s">
        <v>11</v>
      </c>
      <c r="Q30" s="13" t="s">
        <v>138</v>
      </c>
      <c r="R30" s="13"/>
      <c r="S30" s="13"/>
      <c r="T30" s="13"/>
      <c r="U30" s="13"/>
      <c r="V30" s="13"/>
      <c r="W30" s="13"/>
      <c r="X30" s="13"/>
      <c r="Y30" s="13"/>
      <c r="Z30" s="13"/>
      <c r="AA30" s="3" t="s">
        <v>21</v>
      </c>
    </row>
    <row r="31" spans="1:27" x14ac:dyDescent="0.3">
      <c r="A31" s="24" t="s">
        <v>10</v>
      </c>
      <c r="B31" s="7" t="s">
        <v>12</v>
      </c>
      <c r="C31" s="7">
        <f>YEAR(ValDate)+1</f>
        <v>2023</v>
      </c>
      <c r="D31" s="7">
        <f>+C31+1</f>
        <v>2024</v>
      </c>
      <c r="E31" s="7">
        <f t="shared" ref="E31:L31" si="15">+D31+1</f>
        <v>2025</v>
      </c>
      <c r="F31" s="7">
        <f t="shared" si="15"/>
        <v>2026</v>
      </c>
      <c r="G31" s="7">
        <f t="shared" si="15"/>
        <v>2027</v>
      </c>
      <c r="H31" s="7">
        <f t="shared" si="15"/>
        <v>2028</v>
      </c>
      <c r="I31" s="7">
        <f t="shared" si="15"/>
        <v>2029</v>
      </c>
      <c r="J31" s="7">
        <f t="shared" si="15"/>
        <v>2030</v>
      </c>
      <c r="K31" s="7">
        <f t="shared" si="15"/>
        <v>2031</v>
      </c>
      <c r="L31" s="7">
        <f t="shared" si="15"/>
        <v>2032</v>
      </c>
      <c r="M31" s="7" t="s">
        <v>12</v>
      </c>
      <c r="O31" s="24" t="s">
        <v>10</v>
      </c>
      <c r="P31" s="7" t="s">
        <v>12</v>
      </c>
      <c r="Q31" s="7">
        <f>YEAR(ValDate)+1</f>
        <v>2023</v>
      </c>
      <c r="R31" s="7">
        <f>+Q31+1</f>
        <v>2024</v>
      </c>
      <c r="S31" s="7">
        <f t="shared" ref="S31:Z31" si="16">+R31+1</f>
        <v>2025</v>
      </c>
      <c r="T31" s="7">
        <f t="shared" si="16"/>
        <v>2026</v>
      </c>
      <c r="U31" s="7">
        <f t="shared" si="16"/>
        <v>2027</v>
      </c>
      <c r="V31" s="7">
        <f t="shared" si="16"/>
        <v>2028</v>
      </c>
      <c r="W31" s="7">
        <f t="shared" si="16"/>
        <v>2029</v>
      </c>
      <c r="X31" s="7">
        <f t="shared" si="16"/>
        <v>2030</v>
      </c>
      <c r="Y31" s="7">
        <f t="shared" si="16"/>
        <v>2031</v>
      </c>
      <c r="Z31" s="7">
        <f t="shared" si="16"/>
        <v>2032</v>
      </c>
      <c r="AA31" s="7" t="s">
        <v>12</v>
      </c>
    </row>
    <row r="32" spans="1:27" x14ac:dyDescent="0.3">
      <c r="A32" s="102">
        <f t="shared" ref="A32:A40" si="17">A33-1</f>
        <v>2012</v>
      </c>
      <c r="B32" s="44">
        <f t="shared" ref="B32:B42" si="18">SUM(C32:L32)</f>
        <v>22632</v>
      </c>
      <c r="C32" s="10">
        <f t="shared" ref="C32:L32" si="19">AVERAGE(C13:C14)</f>
        <v>22632</v>
      </c>
      <c r="D32" s="10">
        <f t="shared" si="19"/>
        <v>0</v>
      </c>
      <c r="E32" s="10">
        <f t="shared" si="19"/>
        <v>0</v>
      </c>
      <c r="F32" s="10">
        <f t="shared" si="19"/>
        <v>0</v>
      </c>
      <c r="G32" s="10">
        <f t="shared" si="19"/>
        <v>0</v>
      </c>
      <c r="H32" s="10">
        <f t="shared" si="19"/>
        <v>0</v>
      </c>
      <c r="I32" s="10">
        <f t="shared" si="19"/>
        <v>0</v>
      </c>
      <c r="J32" s="10">
        <f t="shared" si="19"/>
        <v>0</v>
      </c>
      <c r="K32" s="10">
        <f t="shared" si="19"/>
        <v>0</v>
      </c>
      <c r="L32" s="10">
        <f t="shared" si="19"/>
        <v>0</v>
      </c>
      <c r="M32" s="20">
        <f t="shared" ref="M32:M42" si="20">SUMPRODUCT(C32:L32,$C$54:$L$54)</f>
        <v>22366.384983476641</v>
      </c>
      <c r="O32" s="102">
        <f t="shared" ref="O32:O40" si="21">O33-1</f>
        <v>2012</v>
      </c>
      <c r="P32" s="44">
        <f t="shared" ref="P32:P42" si="22">SUM(Q32:Z32)</f>
        <v>80655.132312673712</v>
      </c>
      <c r="Q32" s="10">
        <f t="shared" ref="Q32:Z32" si="23">AVERAGE(Q13:Q14)</f>
        <v>80655.132312673712</v>
      </c>
      <c r="R32" s="10">
        <f t="shared" si="23"/>
        <v>0</v>
      </c>
      <c r="S32" s="10">
        <f t="shared" si="23"/>
        <v>0</v>
      </c>
      <c r="T32" s="10">
        <f t="shared" si="23"/>
        <v>0</v>
      </c>
      <c r="U32" s="10">
        <f t="shared" si="23"/>
        <v>0</v>
      </c>
      <c r="V32" s="10">
        <f t="shared" si="23"/>
        <v>0</v>
      </c>
      <c r="W32" s="10">
        <f t="shared" si="23"/>
        <v>0</v>
      </c>
      <c r="X32" s="10">
        <f t="shared" si="23"/>
        <v>0</v>
      </c>
      <c r="Y32" s="10">
        <f t="shared" si="23"/>
        <v>0</v>
      </c>
      <c r="Z32" s="10">
        <f t="shared" si="23"/>
        <v>0</v>
      </c>
      <c r="AA32" s="20">
        <f t="shared" ref="AA32:AA42" si="24">SUMPRODUCT(Q32:Z32,$Q$54:$Z$54)</f>
        <v>79689.087764769298</v>
      </c>
    </row>
    <row r="33" spans="1:27" x14ac:dyDescent="0.3">
      <c r="A33" s="102">
        <f t="shared" si="17"/>
        <v>2013</v>
      </c>
      <c r="B33" s="44">
        <f t="shared" si="18"/>
        <v>111376.49999999993</v>
      </c>
      <c r="C33" s="10">
        <f t="shared" ref="C33:L33" si="25">AVERAGE(C14:C15)</f>
        <v>111376.49999999993</v>
      </c>
      <c r="D33" s="10">
        <f t="shared" si="25"/>
        <v>0</v>
      </c>
      <c r="E33" s="10">
        <f t="shared" si="25"/>
        <v>0</v>
      </c>
      <c r="F33" s="10">
        <f t="shared" si="25"/>
        <v>0</v>
      </c>
      <c r="G33" s="10">
        <f t="shared" si="25"/>
        <v>0</v>
      </c>
      <c r="H33" s="10">
        <f t="shared" si="25"/>
        <v>0</v>
      </c>
      <c r="I33" s="10">
        <f t="shared" si="25"/>
        <v>0</v>
      </c>
      <c r="J33" s="10">
        <f t="shared" si="25"/>
        <v>0</v>
      </c>
      <c r="K33" s="10">
        <f t="shared" si="25"/>
        <v>0</v>
      </c>
      <c r="L33" s="10">
        <f t="shared" si="25"/>
        <v>0</v>
      </c>
      <c r="M33" s="20">
        <f t="shared" si="20"/>
        <v>110069.35653553306</v>
      </c>
      <c r="O33" s="102">
        <f t="shared" si="21"/>
        <v>2013</v>
      </c>
      <c r="P33" s="44">
        <f t="shared" si="22"/>
        <v>460162.82323022187</v>
      </c>
      <c r="Q33" s="10">
        <f t="shared" ref="Q33:Z33" si="26">AVERAGE(Q14:Q15)</f>
        <v>270408.9777714478</v>
      </c>
      <c r="R33" s="10">
        <f t="shared" si="26"/>
        <v>189753.8454587741</v>
      </c>
      <c r="S33" s="10">
        <f t="shared" si="26"/>
        <v>0</v>
      </c>
      <c r="T33" s="10">
        <f t="shared" si="26"/>
        <v>0</v>
      </c>
      <c r="U33" s="10">
        <f t="shared" si="26"/>
        <v>0</v>
      </c>
      <c r="V33" s="10">
        <f t="shared" si="26"/>
        <v>0</v>
      </c>
      <c r="W33" s="10">
        <f t="shared" si="26"/>
        <v>0</v>
      </c>
      <c r="X33" s="10">
        <f t="shared" si="26"/>
        <v>0</v>
      </c>
      <c r="Y33" s="10">
        <f t="shared" si="26"/>
        <v>0</v>
      </c>
      <c r="Z33" s="10">
        <f t="shared" si="26"/>
        <v>0</v>
      </c>
      <c r="AA33" s="20">
        <f t="shared" si="24"/>
        <v>449914.10549327586</v>
      </c>
    </row>
    <row r="34" spans="1:27" x14ac:dyDescent="0.3">
      <c r="A34" s="102">
        <f t="shared" si="17"/>
        <v>2014</v>
      </c>
      <c r="B34" s="44">
        <f t="shared" si="18"/>
        <v>479892.49999999959</v>
      </c>
      <c r="C34" s="10">
        <f t="shared" ref="C34:L34" si="27">AVERAGE(C15:C16)</f>
        <v>284318.49999999977</v>
      </c>
      <c r="D34" s="10">
        <f t="shared" si="27"/>
        <v>195573.99999999983</v>
      </c>
      <c r="E34" s="10">
        <f t="shared" si="27"/>
        <v>0</v>
      </c>
      <c r="F34" s="10">
        <f t="shared" si="27"/>
        <v>0</v>
      </c>
      <c r="G34" s="10">
        <f t="shared" si="27"/>
        <v>0</v>
      </c>
      <c r="H34" s="10">
        <f t="shared" si="27"/>
        <v>0</v>
      </c>
      <c r="I34" s="10">
        <f t="shared" si="27"/>
        <v>0</v>
      </c>
      <c r="J34" s="10">
        <f t="shared" si="27"/>
        <v>0</v>
      </c>
      <c r="K34" s="10">
        <f t="shared" si="27"/>
        <v>0</v>
      </c>
      <c r="L34" s="10">
        <f t="shared" si="27"/>
        <v>0</v>
      </c>
      <c r="M34" s="20">
        <f t="shared" si="20"/>
        <v>469468.5989235267</v>
      </c>
      <c r="O34" s="102">
        <f t="shared" si="21"/>
        <v>2014</v>
      </c>
      <c r="P34" s="44">
        <f t="shared" si="22"/>
        <v>800199.12673834199</v>
      </c>
      <c r="Q34" s="10">
        <f t="shared" ref="Q34:Z34" si="28">AVERAGE(Q15:Q16)</f>
        <v>400099.563369171</v>
      </c>
      <c r="R34" s="10">
        <f t="shared" si="28"/>
        <v>294926.70441397256</v>
      </c>
      <c r="S34" s="10">
        <f t="shared" si="28"/>
        <v>105172.85895519845</v>
      </c>
      <c r="T34" s="10">
        <f t="shared" si="28"/>
        <v>0</v>
      </c>
      <c r="U34" s="10">
        <f t="shared" si="28"/>
        <v>0</v>
      </c>
      <c r="V34" s="10">
        <f t="shared" si="28"/>
        <v>0</v>
      </c>
      <c r="W34" s="10">
        <f t="shared" si="28"/>
        <v>0</v>
      </c>
      <c r="X34" s="10">
        <f t="shared" si="28"/>
        <v>0</v>
      </c>
      <c r="Y34" s="10">
        <f t="shared" si="28"/>
        <v>0</v>
      </c>
      <c r="Z34" s="10">
        <f t="shared" si="28"/>
        <v>0</v>
      </c>
      <c r="AA34" s="20">
        <f t="shared" si="24"/>
        <v>777832.82250443927</v>
      </c>
    </row>
    <row r="35" spans="1:27" x14ac:dyDescent="0.3">
      <c r="A35" s="102">
        <f t="shared" si="17"/>
        <v>2015</v>
      </c>
      <c r="B35" s="44">
        <f t="shared" si="18"/>
        <v>810339.4999999993</v>
      </c>
      <c r="C35" s="10">
        <f t="shared" ref="C35:L35" si="29">AVERAGE(C16:C17)</f>
        <v>405169.74999999965</v>
      </c>
      <c r="D35" s="10">
        <f t="shared" si="29"/>
        <v>300371.87499999977</v>
      </c>
      <c r="E35" s="10">
        <f t="shared" si="29"/>
        <v>104797.87499999991</v>
      </c>
      <c r="F35" s="10">
        <f t="shared" si="29"/>
        <v>0</v>
      </c>
      <c r="G35" s="10">
        <f t="shared" si="29"/>
        <v>0</v>
      </c>
      <c r="H35" s="10">
        <f t="shared" si="29"/>
        <v>0</v>
      </c>
      <c r="I35" s="10">
        <f t="shared" si="29"/>
        <v>0</v>
      </c>
      <c r="J35" s="10">
        <f t="shared" si="29"/>
        <v>0</v>
      </c>
      <c r="K35" s="10">
        <f t="shared" si="29"/>
        <v>0</v>
      </c>
      <c r="L35" s="10">
        <f t="shared" si="29"/>
        <v>0</v>
      </c>
      <c r="M35" s="20">
        <f t="shared" si="20"/>
        <v>788164.16851017205</v>
      </c>
      <c r="O35" s="102">
        <f t="shared" si="21"/>
        <v>2015</v>
      </c>
      <c r="P35" s="44">
        <f t="shared" si="22"/>
        <v>1111899.3533150337</v>
      </c>
      <c r="Q35" s="10">
        <f t="shared" ref="Q35:Z35" si="30">AVERAGE(Q16:Q17)</f>
        <v>440748.35707514349</v>
      </c>
      <c r="R35" s="10">
        <f t="shared" si="30"/>
        <v>335575.49811994506</v>
      </c>
      <c r="S35" s="10">
        <f t="shared" si="30"/>
        <v>220374.17853757174</v>
      </c>
      <c r="T35" s="10">
        <f t="shared" si="30"/>
        <v>115201.31958237331</v>
      </c>
      <c r="U35" s="10">
        <f t="shared" si="30"/>
        <v>0</v>
      </c>
      <c r="V35" s="10">
        <f t="shared" si="30"/>
        <v>0</v>
      </c>
      <c r="W35" s="10">
        <f t="shared" si="30"/>
        <v>0</v>
      </c>
      <c r="X35" s="10">
        <f t="shared" si="30"/>
        <v>0</v>
      </c>
      <c r="Y35" s="10">
        <f t="shared" si="30"/>
        <v>0</v>
      </c>
      <c r="Z35" s="10">
        <f t="shared" si="30"/>
        <v>0</v>
      </c>
      <c r="AA35" s="20">
        <f t="shared" si="24"/>
        <v>1069537.2096918998</v>
      </c>
    </row>
    <row r="36" spans="1:27" x14ac:dyDescent="0.3">
      <c r="A36" s="102">
        <f t="shared" si="17"/>
        <v>2016</v>
      </c>
      <c r="B36" s="44">
        <f t="shared" si="18"/>
        <v>1017841.9999999991</v>
      </c>
      <c r="C36" s="10">
        <f t="shared" ref="C36:L36" si="31">AVERAGE(C17:C18)</f>
        <v>409145.91666666628</v>
      </c>
      <c r="D36" s="10">
        <f t="shared" si="31"/>
        <v>304348.0416666664</v>
      </c>
      <c r="E36" s="10">
        <f t="shared" si="31"/>
        <v>204572.95833333314</v>
      </c>
      <c r="F36" s="10">
        <f t="shared" si="31"/>
        <v>99775.083333333241</v>
      </c>
      <c r="G36" s="10">
        <f t="shared" si="31"/>
        <v>0</v>
      </c>
      <c r="H36" s="10">
        <f t="shared" si="31"/>
        <v>0</v>
      </c>
      <c r="I36" s="10">
        <f t="shared" si="31"/>
        <v>0</v>
      </c>
      <c r="J36" s="10">
        <f t="shared" si="31"/>
        <v>0</v>
      </c>
      <c r="K36" s="10">
        <f t="shared" si="31"/>
        <v>0</v>
      </c>
      <c r="L36" s="10">
        <f t="shared" si="31"/>
        <v>0</v>
      </c>
      <c r="M36" s="20">
        <f t="shared" si="20"/>
        <v>980147.99431505625</v>
      </c>
      <c r="O36" s="102">
        <f t="shared" si="21"/>
        <v>2016</v>
      </c>
      <c r="P36" s="44">
        <f t="shared" si="22"/>
        <v>3863337.3886747775</v>
      </c>
      <c r="Q36" s="10">
        <f t="shared" ref="Q36:Z36" si="32">AVERAGE(Q17:Q18)</f>
        <v>1287779.1295582592</v>
      </c>
      <c r="R36" s="10">
        <f t="shared" si="32"/>
        <v>935320.29942708835</v>
      </c>
      <c r="S36" s="10">
        <f t="shared" si="32"/>
        <v>820118.97984471498</v>
      </c>
      <c r="T36" s="10">
        <f t="shared" si="32"/>
        <v>467660.14971354418</v>
      </c>
      <c r="U36" s="10">
        <f t="shared" si="32"/>
        <v>352458.83013117086</v>
      </c>
      <c r="V36" s="10">
        <f t="shared" si="32"/>
        <v>0</v>
      </c>
      <c r="W36" s="10">
        <f t="shared" si="32"/>
        <v>0</v>
      </c>
      <c r="X36" s="10">
        <f t="shared" si="32"/>
        <v>0</v>
      </c>
      <c r="Y36" s="10">
        <f t="shared" si="32"/>
        <v>0</v>
      </c>
      <c r="Z36" s="10">
        <f t="shared" si="32"/>
        <v>0</v>
      </c>
      <c r="AA36" s="20">
        <f t="shared" si="24"/>
        <v>3675549.4467903585</v>
      </c>
    </row>
    <row r="37" spans="1:27" x14ac:dyDescent="0.3">
      <c r="A37" s="102">
        <f t="shared" si="17"/>
        <v>2017</v>
      </c>
      <c r="B37" s="44">
        <f t="shared" si="18"/>
        <v>3566313.4999999991</v>
      </c>
      <c r="C37" s="10">
        <f t="shared" ref="C37:L37" si="33">AVERAGE(C18:C19)</f>
        <v>1188771.166666666</v>
      </c>
      <c r="D37" s="10">
        <f t="shared" si="33"/>
        <v>859030.83333333302</v>
      </c>
      <c r="E37" s="10">
        <f t="shared" si="33"/>
        <v>759255.74999999977</v>
      </c>
      <c r="F37" s="10">
        <f t="shared" si="33"/>
        <v>429515.41666666651</v>
      </c>
      <c r="G37" s="10">
        <f t="shared" si="33"/>
        <v>329740.33333333326</v>
      </c>
      <c r="H37" s="10">
        <f t="shared" si="33"/>
        <v>0</v>
      </c>
      <c r="I37" s="10">
        <f t="shared" si="33"/>
        <v>0</v>
      </c>
      <c r="J37" s="10">
        <f t="shared" si="33"/>
        <v>0</v>
      </c>
      <c r="K37" s="10">
        <f t="shared" si="33"/>
        <v>0</v>
      </c>
      <c r="L37" s="10">
        <f t="shared" si="33"/>
        <v>0</v>
      </c>
      <c r="M37" s="20">
        <f t="shared" si="20"/>
        <v>3395721.2166539743</v>
      </c>
      <c r="O37" s="102">
        <f t="shared" si="21"/>
        <v>2017</v>
      </c>
      <c r="P37" s="44">
        <f t="shared" si="22"/>
        <v>4359114.9227208039</v>
      </c>
      <c r="Q37" s="10">
        <f t="shared" ref="Q37:Z37" si="34">AVERAGE(Q18:Q19)</f>
        <v>1354122.853278579</v>
      </c>
      <c r="R37" s="10">
        <f t="shared" si="34"/>
        <v>1001664.0231474083</v>
      </c>
      <c r="S37" s="10">
        <f t="shared" si="34"/>
        <v>902748.56885238609</v>
      </c>
      <c r="T37" s="10">
        <f t="shared" si="34"/>
        <v>550289.73872121528</v>
      </c>
      <c r="U37" s="10">
        <f t="shared" si="34"/>
        <v>451374.28442619304</v>
      </c>
      <c r="V37" s="10">
        <f t="shared" si="34"/>
        <v>98915.454295022195</v>
      </c>
      <c r="W37" s="10">
        <f t="shared" si="34"/>
        <v>0</v>
      </c>
      <c r="X37" s="10">
        <f t="shared" si="34"/>
        <v>0</v>
      </c>
      <c r="Y37" s="10">
        <f t="shared" si="34"/>
        <v>0</v>
      </c>
      <c r="Z37" s="10">
        <f t="shared" si="34"/>
        <v>0</v>
      </c>
      <c r="AA37" s="20">
        <f t="shared" si="24"/>
        <v>4128686.2091798875</v>
      </c>
    </row>
    <row r="38" spans="1:27" x14ac:dyDescent="0.3">
      <c r="A38" s="102">
        <f t="shared" si="17"/>
        <v>2018</v>
      </c>
      <c r="B38" s="44">
        <f t="shared" si="18"/>
        <v>4188563.4999999991</v>
      </c>
      <c r="C38" s="10">
        <f t="shared" ref="C38:L38" si="35">AVERAGE(C19:C20)</f>
        <v>1294446.1249999995</v>
      </c>
      <c r="D38" s="10">
        <f t="shared" si="35"/>
        <v>964705.79166666651</v>
      </c>
      <c r="E38" s="10">
        <f t="shared" si="35"/>
        <v>862964.08333333314</v>
      </c>
      <c r="F38" s="10">
        <f t="shared" si="35"/>
        <v>533223.74999999988</v>
      </c>
      <c r="G38" s="10">
        <f t="shared" si="35"/>
        <v>431482.04166666657</v>
      </c>
      <c r="H38" s="10">
        <f t="shared" si="35"/>
        <v>101741.70833333333</v>
      </c>
      <c r="I38" s="10">
        <f t="shared" si="35"/>
        <v>0</v>
      </c>
      <c r="J38" s="10">
        <f t="shared" si="35"/>
        <v>0</v>
      </c>
      <c r="K38" s="10">
        <f t="shared" si="35"/>
        <v>0</v>
      </c>
      <c r="L38" s="10">
        <f t="shared" si="35"/>
        <v>0</v>
      </c>
      <c r="M38" s="20">
        <f t="shared" si="20"/>
        <v>3970161.6555632455</v>
      </c>
      <c r="O38" s="102">
        <f t="shared" si="21"/>
        <v>2018</v>
      </c>
      <c r="P38" s="44">
        <f t="shared" si="22"/>
        <v>4368923.5491498029</v>
      </c>
      <c r="Q38" s="10">
        <f t="shared" ref="Q38:Z38" si="36">AVERAGE(Q19:Q20)</f>
        <v>1092230.8872874507</v>
      </c>
      <c r="R38" s="10">
        <f t="shared" si="36"/>
        <v>893359.75618685456</v>
      </c>
      <c r="S38" s="10">
        <f t="shared" si="36"/>
        <v>794444.30189183238</v>
      </c>
      <c r="T38" s="10">
        <f t="shared" si="36"/>
        <v>595573.17079123645</v>
      </c>
      <c r="U38" s="10">
        <f t="shared" si="36"/>
        <v>496657.71649621427</v>
      </c>
      <c r="V38" s="10">
        <f t="shared" si="36"/>
        <v>297786.58539561823</v>
      </c>
      <c r="W38" s="10">
        <f t="shared" si="36"/>
        <v>198871.13110059605</v>
      </c>
      <c r="X38" s="10">
        <f t="shared" si="36"/>
        <v>0</v>
      </c>
      <c r="Y38" s="10">
        <f t="shared" si="36"/>
        <v>0</v>
      </c>
      <c r="Z38" s="10">
        <f t="shared" si="36"/>
        <v>0</v>
      </c>
      <c r="AA38" s="20">
        <f t="shared" si="24"/>
        <v>4078646.25728876</v>
      </c>
    </row>
    <row r="39" spans="1:27" x14ac:dyDescent="0.3">
      <c r="A39" s="102">
        <f t="shared" si="17"/>
        <v>2019</v>
      </c>
      <c r="B39" s="44">
        <f t="shared" si="18"/>
        <v>4019062.4999999995</v>
      </c>
      <c r="C39" s="10">
        <f t="shared" ref="C39:L39" si="37">AVERAGE(C20:C21)</f>
        <v>1004765.625</v>
      </c>
      <c r="D39" s="10">
        <f t="shared" si="37"/>
        <v>829880.49999999977</v>
      </c>
      <c r="E39" s="10">
        <f t="shared" si="37"/>
        <v>728138.79166666651</v>
      </c>
      <c r="F39" s="10">
        <f t="shared" si="37"/>
        <v>553253.66666666663</v>
      </c>
      <c r="G39" s="10">
        <f t="shared" si="37"/>
        <v>451511.95833333331</v>
      </c>
      <c r="H39" s="10">
        <f t="shared" si="37"/>
        <v>276626.83333333331</v>
      </c>
      <c r="I39" s="10">
        <f t="shared" si="37"/>
        <v>174885.125</v>
      </c>
      <c r="J39" s="10">
        <f t="shared" si="37"/>
        <v>0</v>
      </c>
      <c r="K39" s="10">
        <f t="shared" si="37"/>
        <v>0</v>
      </c>
      <c r="L39" s="10">
        <f t="shared" si="37"/>
        <v>0</v>
      </c>
      <c r="M39" s="20">
        <f t="shared" si="20"/>
        <v>3757536.8190278709</v>
      </c>
      <c r="O39" s="102">
        <f t="shared" si="21"/>
        <v>2019</v>
      </c>
      <c r="P39" s="44">
        <f t="shared" si="22"/>
        <v>5654979.2807936138</v>
      </c>
      <c r="Q39" s="10">
        <f t="shared" ref="Q39:Z39" si="38">AVERAGE(Q20:Q21)</f>
        <v>1469950.3016344053</v>
      </c>
      <c r="R39" s="10">
        <f t="shared" si="38"/>
        <v>1046257.2447898021</v>
      </c>
      <c r="S39" s="10">
        <f t="shared" si="38"/>
        <v>933846.28191779857</v>
      </c>
      <c r="T39" s="10">
        <f t="shared" si="38"/>
        <v>734975.15081720264</v>
      </c>
      <c r="U39" s="10">
        <f t="shared" si="38"/>
        <v>622564.1879451992</v>
      </c>
      <c r="V39" s="10">
        <f t="shared" si="38"/>
        <v>423693.0568446031</v>
      </c>
      <c r="W39" s="10">
        <f t="shared" si="38"/>
        <v>311282.0939725996</v>
      </c>
      <c r="X39" s="10">
        <f t="shared" si="38"/>
        <v>112410.96287200353</v>
      </c>
      <c r="Y39" s="10">
        <f t="shared" si="38"/>
        <v>0</v>
      </c>
      <c r="Z39" s="10">
        <f t="shared" si="38"/>
        <v>0</v>
      </c>
      <c r="AA39" s="20">
        <f t="shared" si="24"/>
        <v>5256473.2990267966</v>
      </c>
    </row>
    <row r="40" spans="1:27" x14ac:dyDescent="0.3">
      <c r="A40" s="102">
        <f t="shared" si="17"/>
        <v>2020</v>
      </c>
      <c r="B40" s="44">
        <f t="shared" si="18"/>
        <v>5133877.5</v>
      </c>
      <c r="C40" s="10">
        <f t="shared" ref="C40:L40" si="39">AVERAGE(C21:C22)</f>
        <v>1336553.8181818181</v>
      </c>
      <c r="D40" s="10">
        <f t="shared" si="39"/>
        <v>949330.92045454541</v>
      </c>
      <c r="E40" s="10">
        <f t="shared" si="39"/>
        <v>843162.03409090894</v>
      </c>
      <c r="F40" s="10">
        <f t="shared" si="39"/>
        <v>668276.90909090906</v>
      </c>
      <c r="G40" s="10">
        <f t="shared" si="39"/>
        <v>562108.02272727271</v>
      </c>
      <c r="H40" s="10">
        <f t="shared" si="39"/>
        <v>387222.89772727271</v>
      </c>
      <c r="I40" s="10">
        <f t="shared" si="39"/>
        <v>281054.01136363635</v>
      </c>
      <c r="J40" s="10">
        <f t="shared" si="39"/>
        <v>106168.88636363637</v>
      </c>
      <c r="K40" s="10">
        <f t="shared" si="39"/>
        <v>0</v>
      </c>
      <c r="L40" s="10">
        <f t="shared" si="39"/>
        <v>0</v>
      </c>
      <c r="M40" s="20">
        <f t="shared" si="20"/>
        <v>4777705.2082191296</v>
      </c>
      <c r="O40" s="102">
        <f t="shared" si="21"/>
        <v>2020</v>
      </c>
      <c r="P40" s="44">
        <f t="shared" si="22"/>
        <v>6262760.2929402422</v>
      </c>
      <c r="Q40" s="10">
        <f t="shared" ref="Q40:Z40" si="40">AVERAGE(Q21:Q22)</f>
        <v>1685057.5398336651</v>
      </c>
      <c r="R40" s="10">
        <f t="shared" si="40"/>
        <v>1207587.6734392471</v>
      </c>
      <c r="S40" s="10">
        <f t="shared" si="40"/>
        <v>842528.76991683256</v>
      </c>
      <c r="T40" s="10">
        <f t="shared" si="40"/>
        <v>716204.79959162697</v>
      </c>
      <c r="U40" s="10">
        <f t="shared" si="40"/>
        <v>603793.83671962353</v>
      </c>
      <c r="V40" s="10">
        <f t="shared" si="40"/>
        <v>477469.86639441806</v>
      </c>
      <c r="W40" s="10">
        <f t="shared" si="40"/>
        <v>365058.9035224145</v>
      </c>
      <c r="X40" s="10">
        <f t="shared" si="40"/>
        <v>238734.93319720903</v>
      </c>
      <c r="Y40" s="10">
        <f t="shared" si="40"/>
        <v>126323.9703252055</v>
      </c>
      <c r="Z40" s="10">
        <f t="shared" si="40"/>
        <v>0</v>
      </c>
      <c r="AA40" s="20">
        <f t="shared" si="24"/>
        <v>5793228.1080106907</v>
      </c>
    </row>
    <row r="41" spans="1:27" x14ac:dyDescent="0.3">
      <c r="A41" s="102">
        <f>A42-1</f>
        <v>2021</v>
      </c>
      <c r="B41" s="44">
        <f t="shared" si="18"/>
        <v>5661815.9999999991</v>
      </c>
      <c r="C41" s="10">
        <f t="shared" ref="C41:L41" si="41">AVERAGE(C22:C23)</f>
        <v>1523973.4515151514</v>
      </c>
      <c r="D41" s="10">
        <f t="shared" si="41"/>
        <v>1089895.6454545455</v>
      </c>
      <c r="E41" s="10">
        <f t="shared" si="41"/>
        <v>761986.72575757571</v>
      </c>
      <c r="F41" s="10">
        <f t="shared" si="41"/>
        <v>651116.70909090899</v>
      </c>
      <c r="G41" s="10">
        <f t="shared" si="41"/>
        <v>544947.82272727275</v>
      </c>
      <c r="H41" s="10">
        <f t="shared" si="41"/>
        <v>434077.80606060603</v>
      </c>
      <c r="I41" s="10">
        <f t="shared" si="41"/>
        <v>327908.91969696968</v>
      </c>
      <c r="J41" s="10">
        <f t="shared" si="41"/>
        <v>217038.90303030302</v>
      </c>
      <c r="K41" s="10">
        <f t="shared" si="41"/>
        <v>110870.01666666666</v>
      </c>
      <c r="L41" s="10">
        <f t="shared" si="41"/>
        <v>0</v>
      </c>
      <c r="M41" s="20">
        <f t="shared" si="20"/>
        <v>5244578.2010433143</v>
      </c>
      <c r="O41" s="102">
        <f>O42-1</f>
        <v>2021</v>
      </c>
      <c r="P41" s="44">
        <f t="shared" si="22"/>
        <v>3789719.1097561647</v>
      </c>
      <c r="Q41" s="10">
        <f t="shared" ref="Q41:Z41" si="42">AVERAGE(Q22:Q23)</f>
        <v>1010591.762601644</v>
      </c>
      <c r="R41" s="10">
        <f t="shared" si="42"/>
        <v>757943.82195123297</v>
      </c>
      <c r="S41" s="10">
        <f t="shared" si="42"/>
        <v>505295.88130082202</v>
      </c>
      <c r="T41" s="10">
        <f t="shared" si="42"/>
        <v>378971.91097561648</v>
      </c>
      <c r="U41" s="10">
        <f t="shared" si="42"/>
        <v>378971.91097561648</v>
      </c>
      <c r="V41" s="10">
        <f t="shared" si="42"/>
        <v>252647.94065041101</v>
      </c>
      <c r="W41" s="10">
        <f t="shared" si="42"/>
        <v>252647.94065041101</v>
      </c>
      <c r="X41" s="10">
        <f t="shared" si="42"/>
        <v>126323.9703252055</v>
      </c>
      <c r="Y41" s="10">
        <f t="shared" si="42"/>
        <v>126323.9703252055</v>
      </c>
      <c r="Z41" s="10">
        <f t="shared" si="42"/>
        <v>0</v>
      </c>
      <c r="AA41" s="20">
        <f t="shared" si="24"/>
        <v>3500334.8989671571</v>
      </c>
    </row>
    <row r="42" spans="1:27" x14ac:dyDescent="0.3">
      <c r="A42" s="102">
        <f>$A$23</f>
        <v>2022</v>
      </c>
      <c r="B42" s="45">
        <f t="shared" si="18"/>
        <v>3326100.4999999995</v>
      </c>
      <c r="C42" s="10">
        <f t="shared" ref="C42:L42" si="43">C23*0.5</f>
        <v>886960.1333333333</v>
      </c>
      <c r="D42" s="10">
        <f t="shared" si="43"/>
        <v>665220.1</v>
      </c>
      <c r="E42" s="10">
        <f t="shared" si="43"/>
        <v>443480.06666666665</v>
      </c>
      <c r="F42" s="10">
        <f t="shared" si="43"/>
        <v>332610.05</v>
      </c>
      <c r="G42" s="10">
        <f t="shared" si="43"/>
        <v>332610.05</v>
      </c>
      <c r="H42" s="10">
        <f t="shared" si="43"/>
        <v>221740.03333333333</v>
      </c>
      <c r="I42" s="10">
        <f t="shared" si="43"/>
        <v>221740.03333333333</v>
      </c>
      <c r="J42" s="10">
        <f t="shared" si="43"/>
        <v>110870.01666666666</v>
      </c>
      <c r="K42" s="10">
        <f t="shared" si="43"/>
        <v>110870.01666666666</v>
      </c>
      <c r="L42" s="10">
        <f t="shared" si="43"/>
        <v>0</v>
      </c>
      <c r="M42" s="21">
        <f t="shared" si="20"/>
        <v>3076219.9197664289</v>
      </c>
      <c r="O42" s="102">
        <f>$A$23</f>
        <v>2022</v>
      </c>
      <c r="P42" s="45">
        <f t="shared" si="22"/>
        <v>0</v>
      </c>
      <c r="Q42" s="10">
        <f t="shared" ref="Q42:Z42" si="44">Q23*0.5</f>
        <v>0</v>
      </c>
      <c r="R42" s="10">
        <f t="shared" si="44"/>
        <v>0</v>
      </c>
      <c r="S42" s="10">
        <f t="shared" si="44"/>
        <v>0</v>
      </c>
      <c r="T42" s="10">
        <f t="shared" si="44"/>
        <v>0</v>
      </c>
      <c r="U42" s="10">
        <f t="shared" si="44"/>
        <v>0</v>
      </c>
      <c r="V42" s="10">
        <f t="shared" si="44"/>
        <v>0</v>
      </c>
      <c r="W42" s="10">
        <f t="shared" si="44"/>
        <v>0</v>
      </c>
      <c r="X42" s="10">
        <f t="shared" si="44"/>
        <v>0</v>
      </c>
      <c r="Y42" s="10">
        <f t="shared" si="44"/>
        <v>0</v>
      </c>
      <c r="Z42" s="10">
        <f t="shared" si="44"/>
        <v>0</v>
      </c>
      <c r="AA42" s="21">
        <f t="shared" si="24"/>
        <v>0</v>
      </c>
    </row>
    <row r="43" spans="1:27" x14ac:dyDescent="0.3">
      <c r="A43" s="8"/>
      <c r="B43" s="11">
        <f t="shared" ref="B43:M43" si="45">SUM(B32:B42)</f>
        <v>28337815.999999996</v>
      </c>
      <c r="C43" s="11">
        <f t="shared" si="45"/>
        <v>8468112.9863636345</v>
      </c>
      <c r="D43" s="11">
        <f t="shared" si="45"/>
        <v>6158357.7075757561</v>
      </c>
      <c r="E43" s="11">
        <f t="shared" si="45"/>
        <v>4708358.2848484833</v>
      </c>
      <c r="F43" s="11">
        <f t="shared" si="45"/>
        <v>3267771.584848484</v>
      </c>
      <c r="G43" s="11">
        <f t="shared" si="45"/>
        <v>2652400.2287878785</v>
      </c>
      <c r="H43" s="11">
        <f t="shared" si="45"/>
        <v>1421409.2787878788</v>
      </c>
      <c r="I43" s="11">
        <f t="shared" si="45"/>
        <v>1005588.0893939394</v>
      </c>
      <c r="J43" s="11">
        <f t="shared" si="45"/>
        <v>434077.80606060603</v>
      </c>
      <c r="K43" s="11">
        <f t="shared" si="45"/>
        <v>221740.03333333333</v>
      </c>
      <c r="L43" s="11">
        <f t="shared" si="45"/>
        <v>0</v>
      </c>
      <c r="M43" s="11">
        <f t="shared" si="45"/>
        <v>26592139.52354173</v>
      </c>
      <c r="O43" s="8"/>
      <c r="P43" s="11">
        <f t="shared" ref="P43:AA43" si="46">SUM(P32:P42)</f>
        <v>30751750.979631677</v>
      </c>
      <c r="Q43" s="11">
        <f t="shared" si="46"/>
        <v>9091644.5047224388</v>
      </c>
      <c r="R43" s="11">
        <f t="shared" si="46"/>
        <v>6662388.8669343255</v>
      </c>
      <c r="S43" s="11">
        <f t="shared" si="46"/>
        <v>5124529.821217156</v>
      </c>
      <c r="T43" s="11">
        <f t="shared" si="46"/>
        <v>3558876.2401928152</v>
      </c>
      <c r="U43" s="11">
        <f t="shared" si="46"/>
        <v>2905820.7666940177</v>
      </c>
      <c r="V43" s="11">
        <f t="shared" si="46"/>
        <v>1550512.9035800726</v>
      </c>
      <c r="W43" s="11">
        <f t="shared" si="46"/>
        <v>1127860.0692460211</v>
      </c>
      <c r="X43" s="11">
        <f t="shared" si="46"/>
        <v>477469.86639441806</v>
      </c>
      <c r="Y43" s="11">
        <f t="shared" si="46"/>
        <v>252647.94065041101</v>
      </c>
      <c r="Z43" s="11">
        <f t="shared" si="46"/>
        <v>0</v>
      </c>
      <c r="AA43" s="11">
        <f t="shared" si="46"/>
        <v>28809891.444718033</v>
      </c>
    </row>
    <row r="47" spans="1:27" x14ac:dyDescent="0.3">
      <c r="A47" t="s">
        <v>261</v>
      </c>
      <c r="C47" s="14">
        <f t="array" ref="C47:L47">TRANSPOSE('2-Current Curve'!$AJ$13:$AJ$23)</f>
        <v>2.3892299999999998E-2</v>
      </c>
      <c r="D47" s="14">
        <v>2.4912E-2</v>
      </c>
      <c r="E47" s="14">
        <v>2.60915E-2</v>
      </c>
      <c r="F47" s="14">
        <v>2.7719599999999997E-2</v>
      </c>
      <c r="G47" s="14">
        <v>2.8338700000000001E-2</v>
      </c>
      <c r="H47" s="14">
        <v>2.8962799999999997E-2</v>
      </c>
      <c r="I47" s="14">
        <v>2.9602400000000001E-2</v>
      </c>
      <c r="J47" s="14">
        <v>3.0265299999999998E-2</v>
      </c>
      <c r="K47" s="14">
        <v>3.0956000000000001E-2</v>
      </c>
      <c r="L47" s="14">
        <v>3.1675099999999998E-2</v>
      </c>
      <c r="O47" t="s">
        <v>20</v>
      </c>
      <c r="Q47" s="19">
        <f t="array" ref="Q47:Z47">TRANSPOSE('6-Income Statement Calculations'!H14:H23)</f>
        <v>2.4392299999999999E-2</v>
      </c>
      <c r="R47" s="19">
        <v>2.5412000000000001E-2</v>
      </c>
      <c r="S47" s="19">
        <v>2.6591500000000001E-2</v>
      </c>
      <c r="T47" s="19">
        <v>2.8219599999999997E-2</v>
      </c>
      <c r="U47" s="19">
        <v>2.8838700000000002E-2</v>
      </c>
      <c r="V47" s="19">
        <v>2.9462799999999997E-2</v>
      </c>
      <c r="W47" s="19">
        <v>3.0102400000000001E-2</v>
      </c>
      <c r="X47" s="19">
        <v>3.0765299999999999E-2</v>
      </c>
      <c r="Y47" s="19">
        <v>3.1455999999999998E-2</v>
      </c>
      <c r="Z47" s="19">
        <v>3.2175099999999998E-2</v>
      </c>
    </row>
    <row r="50" spans="1:26" x14ac:dyDescent="0.3">
      <c r="A50" t="s">
        <v>262</v>
      </c>
      <c r="O50" t="s">
        <v>31</v>
      </c>
    </row>
    <row r="51" spans="1:26" x14ac:dyDescent="0.3">
      <c r="A51" t="s">
        <v>32</v>
      </c>
      <c r="C51" s="18">
        <v>0.5</v>
      </c>
      <c r="D51" s="18">
        <f t="shared" ref="D51:L51" si="47">+C51+1</f>
        <v>1.5</v>
      </c>
      <c r="E51" s="18">
        <f t="shared" si="47"/>
        <v>2.5</v>
      </c>
      <c r="F51" s="18">
        <f t="shared" si="47"/>
        <v>3.5</v>
      </c>
      <c r="G51" s="18">
        <f t="shared" si="47"/>
        <v>4.5</v>
      </c>
      <c r="H51" s="18">
        <f t="shared" si="47"/>
        <v>5.5</v>
      </c>
      <c r="I51" s="18">
        <f t="shared" si="47"/>
        <v>6.5</v>
      </c>
      <c r="J51" s="18">
        <f t="shared" si="47"/>
        <v>7.5</v>
      </c>
      <c r="K51" s="18">
        <f t="shared" si="47"/>
        <v>8.5</v>
      </c>
      <c r="L51" s="18">
        <f t="shared" si="47"/>
        <v>9.5</v>
      </c>
      <c r="O51" t="s">
        <v>32</v>
      </c>
      <c r="Q51" s="18">
        <v>0.5</v>
      </c>
      <c r="R51" s="18">
        <f t="shared" ref="R51" si="48">+Q51+1</f>
        <v>1.5</v>
      </c>
      <c r="S51" s="18">
        <f t="shared" ref="S51" si="49">+R51+1</f>
        <v>2.5</v>
      </c>
      <c r="T51" s="18">
        <f t="shared" ref="T51" si="50">+S51+1</f>
        <v>3.5</v>
      </c>
      <c r="U51" s="18">
        <f t="shared" ref="U51" si="51">+T51+1</f>
        <v>4.5</v>
      </c>
      <c r="V51" s="18">
        <f t="shared" ref="V51" si="52">+U51+1</f>
        <v>5.5</v>
      </c>
      <c r="W51" s="18">
        <f t="shared" ref="W51" si="53">+V51+1</f>
        <v>6.5</v>
      </c>
      <c r="X51" s="18">
        <f t="shared" ref="X51" si="54">+W51+1</f>
        <v>7.5</v>
      </c>
      <c r="Y51" s="18">
        <f t="shared" ref="Y51" si="55">+X51+1</f>
        <v>8.5</v>
      </c>
      <c r="Z51" s="18">
        <f t="shared" ref="Z51" si="56">+Y51+1</f>
        <v>9.5</v>
      </c>
    </row>
    <row r="54" spans="1:26" x14ac:dyDescent="0.3">
      <c r="A54" t="s">
        <v>263</v>
      </c>
      <c r="C54" s="15">
        <f t="shared" ref="C54:L54" si="57">(1+C47)^-C51</f>
        <v>0.98826374087471902</v>
      </c>
      <c r="D54" s="15">
        <f t="shared" si="57"/>
        <v>0.96376274204975276</v>
      </c>
      <c r="E54" s="15">
        <f t="shared" si="57"/>
        <v>0.93763708282512825</v>
      </c>
      <c r="F54" s="15">
        <f t="shared" si="57"/>
        <v>0.90873815452316931</v>
      </c>
      <c r="G54" s="15">
        <f t="shared" si="57"/>
        <v>0.88183471046075401</v>
      </c>
      <c r="H54" s="15">
        <f t="shared" si="57"/>
        <v>0.85467655892443017</v>
      </c>
      <c r="I54" s="15">
        <f t="shared" si="57"/>
        <v>0.82727128395566785</v>
      </c>
      <c r="J54" s="15">
        <f t="shared" si="57"/>
        <v>0.79961688147267151</v>
      </c>
      <c r="K54" s="15">
        <f t="shared" si="57"/>
        <v>0.77171846319786686</v>
      </c>
      <c r="L54" s="15">
        <f t="shared" si="57"/>
        <v>0.7436044616058467</v>
      </c>
      <c r="O54" t="s">
        <v>29</v>
      </c>
      <c r="Q54" s="15">
        <f t="shared" ref="Q54:Z54" si="58">(1+Q47)^-Q51</f>
        <v>0.98802252850867101</v>
      </c>
      <c r="R54" s="15">
        <f t="shared" si="58"/>
        <v>0.96305791907541549</v>
      </c>
      <c r="S54" s="15">
        <f t="shared" si="58"/>
        <v>0.93649581265525506</v>
      </c>
      <c r="T54" s="15">
        <f t="shared" si="58"/>
        <v>0.90719244838057267</v>
      </c>
      <c r="U54" s="15">
        <f t="shared" si="58"/>
        <v>0.87990783763458957</v>
      </c>
      <c r="V54" s="15">
        <f t="shared" si="58"/>
        <v>0.85239595829365722</v>
      </c>
      <c r="W54" s="15">
        <f t="shared" si="58"/>
        <v>0.82466470285388283</v>
      </c>
      <c r="X54" s="15">
        <f t="shared" si="58"/>
        <v>0.79671239848659492</v>
      </c>
      <c r="Y54" s="15">
        <f t="shared" si="58"/>
        <v>0.76854445709551256</v>
      </c>
      <c r="Z54" s="15">
        <f t="shared" si="58"/>
        <v>0.74018948075131163</v>
      </c>
    </row>
    <row r="58" spans="1:26" x14ac:dyDescent="0.3">
      <c r="A58" s="5" t="s">
        <v>13</v>
      </c>
    </row>
    <row r="59" spans="1:26" x14ac:dyDescent="0.3">
      <c r="A59" s="92" t="s">
        <v>214</v>
      </c>
      <c r="B59" s="34"/>
      <c r="C59" s="34"/>
      <c r="D59" s="34"/>
      <c r="E59" s="34"/>
      <c r="F59" s="34"/>
    </row>
    <row r="60" spans="1:26" x14ac:dyDescent="0.3">
      <c r="A60" s="92" t="s">
        <v>215</v>
      </c>
      <c r="B60" s="34"/>
      <c r="C60" s="34"/>
      <c r="D60" s="34"/>
      <c r="E60" s="34"/>
      <c r="F60" s="34"/>
    </row>
    <row r="61" spans="1:26" x14ac:dyDescent="0.3">
      <c r="A61" s="92" t="s">
        <v>329</v>
      </c>
      <c r="B61" s="34"/>
      <c r="C61" s="34"/>
      <c r="D61" s="34"/>
      <c r="E61" s="34"/>
      <c r="F61" s="34"/>
      <c r="G61" s="34"/>
    </row>
    <row r="62" spans="1:26" x14ac:dyDescent="0.3">
      <c r="A62" s="92" t="s">
        <v>266</v>
      </c>
      <c r="B62" s="34"/>
      <c r="C62" s="34"/>
      <c r="D62" s="34"/>
      <c r="E62" s="34"/>
      <c r="F62" s="34"/>
      <c r="G62" s="34"/>
    </row>
    <row r="63" spans="1:26" x14ac:dyDescent="0.3">
      <c r="A63" s="92" t="s">
        <v>330</v>
      </c>
      <c r="B63" s="34"/>
      <c r="C63" s="34"/>
      <c r="D63" s="34"/>
      <c r="E63" s="34"/>
      <c r="F63" s="34"/>
      <c r="G63" s="34"/>
    </row>
    <row r="64" spans="1:26" x14ac:dyDescent="0.3">
      <c r="A64" s="92" t="s">
        <v>331</v>
      </c>
      <c r="B64" s="34"/>
      <c r="C64" s="34"/>
      <c r="D64" s="34"/>
      <c r="E64" s="34"/>
      <c r="F64" s="34"/>
      <c r="G64" s="34"/>
    </row>
    <row r="65" spans="1:7" x14ac:dyDescent="0.3">
      <c r="A65" s="92" t="s">
        <v>328</v>
      </c>
      <c r="B65" s="34"/>
      <c r="C65" s="34"/>
      <c r="D65" s="34"/>
      <c r="E65" s="34"/>
      <c r="F65" s="34"/>
      <c r="G65" s="34"/>
    </row>
    <row r="66" spans="1:7" x14ac:dyDescent="0.3">
      <c r="A66" s="92" t="s">
        <v>264</v>
      </c>
      <c r="B66" s="34"/>
      <c r="C66" s="34"/>
      <c r="D66" s="34"/>
      <c r="E66" s="34"/>
      <c r="F66" s="34"/>
      <c r="G66" s="34"/>
    </row>
    <row r="67" spans="1:7" x14ac:dyDescent="0.3">
      <c r="A67" s="92" t="s">
        <v>265</v>
      </c>
      <c r="B67" s="34"/>
      <c r="C67" s="34"/>
      <c r="D67" s="34"/>
      <c r="E67" s="34"/>
      <c r="F67" s="34"/>
      <c r="G67" s="34"/>
    </row>
    <row r="68" spans="1:7" x14ac:dyDescent="0.3">
      <c r="A68" s="34" t="s">
        <v>318</v>
      </c>
      <c r="B68" s="34"/>
      <c r="C68" s="34"/>
      <c r="D68" s="34"/>
      <c r="E68" s="34"/>
      <c r="F68" s="34"/>
      <c r="G68" s="34"/>
    </row>
  </sheetData>
  <sheetProtection sheet="1" objects="1" scenarios="1"/>
  <printOptions horizontalCentered="1"/>
  <pageMargins left="0.70866141732283472" right="0.70866141732283472" top="0.74803149606299213" bottom="0.35433070866141736" header="0.31496062992125984" footer="0.31496062992125984"/>
  <pageSetup scale="69" orientation="landscape" blackAndWhite="1" r:id="rId1"/>
  <rowBreaks count="1" manualBreakCount="1">
    <brk id="45" max="1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E5151-FF5A-4080-9DD2-C677CE128332}">
  <dimension ref="A1:AQ76"/>
  <sheetViews>
    <sheetView view="pageBreakPreview" zoomScale="85" zoomScaleNormal="100" zoomScaleSheetLayoutView="85" workbookViewId="0">
      <selection activeCell="K36" sqref="K36"/>
    </sheetView>
  </sheetViews>
  <sheetFormatPr defaultColWidth="13.5546875" defaultRowHeight="14.4" x14ac:dyDescent="0.3"/>
  <cols>
    <col min="1" max="1" width="13.77734375" style="34" customWidth="1"/>
    <col min="2" max="2" width="13.5546875" style="34" customWidth="1"/>
    <col min="3" max="12" width="10.77734375" style="34" customWidth="1"/>
    <col min="13" max="13" width="13.5546875" style="34" customWidth="1" collapsed="1"/>
    <col min="14" max="14" width="11.21875" style="34" customWidth="1"/>
    <col min="15" max="15" width="10.77734375" style="34" customWidth="1"/>
    <col min="16" max="16" width="13.5546875" style="34" customWidth="1"/>
    <col min="17" max="26" width="10.77734375" style="34" customWidth="1"/>
    <col min="27" max="27" width="13.5546875" style="34" customWidth="1" collapsed="1"/>
    <col min="28" max="30" width="11.21875" style="34" customWidth="1"/>
    <col min="31" max="16384" width="13.5546875" style="34"/>
  </cols>
  <sheetData>
    <row r="1" spans="1:27" x14ac:dyDescent="0.3">
      <c r="A1" s="80" t="s">
        <v>126</v>
      </c>
      <c r="B1" s="80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O1" s="80" t="s">
        <v>304</v>
      </c>
      <c r="P1" s="80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</row>
    <row r="2" spans="1:27" x14ac:dyDescent="0.3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</row>
    <row r="3" spans="1:27" x14ac:dyDescent="0.3">
      <c r="A3" s="80" t="str">
        <f>CompanyName</f>
        <v>Company ABC</v>
      </c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O3" s="80" t="str">
        <f>CompanyName</f>
        <v>Company ABC</v>
      </c>
      <c r="P3" s="80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</row>
    <row r="4" spans="1:27" x14ac:dyDescent="0.3">
      <c r="A4" s="81" t="s">
        <v>140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O4" s="81" t="s">
        <v>140</v>
      </c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</row>
    <row r="5" spans="1:27" x14ac:dyDescent="0.3">
      <c r="A5" s="81" t="s">
        <v>143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O5" s="81" t="s">
        <v>143</v>
      </c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</row>
    <row r="6" spans="1:27" x14ac:dyDescent="0.3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</row>
    <row r="7" spans="1:27" x14ac:dyDescent="0.3">
      <c r="A7" s="81" t="str">
        <f>"As at "&amp;TEXT(ValDate,"mmmm dd, yyyy")</f>
        <v>As at December 31, 2022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O7" s="81" t="str">
        <f>"As at "&amp;TEXT(ValDate-365,"mmmm dd, yyyy")</f>
        <v>As at December 31, 2021</v>
      </c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</row>
    <row r="10" spans="1:27" x14ac:dyDescent="0.3">
      <c r="A10" s="83"/>
      <c r="B10" s="83" t="s">
        <v>14</v>
      </c>
      <c r="C10" s="83" t="s">
        <v>204</v>
      </c>
      <c r="D10" s="83" t="s">
        <v>205</v>
      </c>
      <c r="E10" s="83" t="s">
        <v>206</v>
      </c>
      <c r="F10" s="83" t="s">
        <v>207</v>
      </c>
      <c r="G10" s="83" t="s">
        <v>208</v>
      </c>
      <c r="H10" s="83" t="s">
        <v>209</v>
      </c>
      <c r="I10" s="83" t="s">
        <v>210</v>
      </c>
      <c r="J10" s="83" t="s">
        <v>211</v>
      </c>
      <c r="K10" s="83" t="s">
        <v>212</v>
      </c>
      <c r="L10" s="83" t="s">
        <v>213</v>
      </c>
      <c r="M10" s="83" t="s">
        <v>16</v>
      </c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</row>
    <row r="11" spans="1:27" x14ac:dyDescent="0.3">
      <c r="A11" s="76" t="s">
        <v>291</v>
      </c>
      <c r="B11" s="73" t="s">
        <v>11</v>
      </c>
      <c r="C11" s="77" t="s">
        <v>138</v>
      </c>
      <c r="D11" s="77"/>
      <c r="E11" s="77"/>
      <c r="F11" s="77"/>
      <c r="G11" s="77"/>
      <c r="H11" s="77"/>
      <c r="I11" s="77"/>
      <c r="J11" s="77"/>
      <c r="K11" s="77"/>
      <c r="L11" s="77"/>
      <c r="M11" s="73" t="s">
        <v>21</v>
      </c>
      <c r="O11" s="76" t="s">
        <v>291</v>
      </c>
      <c r="P11" s="73" t="s">
        <v>11</v>
      </c>
      <c r="Q11" s="77" t="s">
        <v>138</v>
      </c>
      <c r="R11" s="77"/>
      <c r="S11" s="77"/>
      <c r="T11" s="77"/>
      <c r="U11" s="77"/>
      <c r="V11" s="77"/>
      <c r="W11" s="77"/>
      <c r="X11" s="77"/>
      <c r="Y11" s="77"/>
      <c r="Z11" s="77"/>
      <c r="AA11" s="73" t="s">
        <v>21</v>
      </c>
    </row>
    <row r="12" spans="1:27" x14ac:dyDescent="0.3">
      <c r="A12" s="71" t="s">
        <v>10</v>
      </c>
      <c r="B12" s="25" t="s">
        <v>12</v>
      </c>
      <c r="C12" s="25">
        <f>YEAR(ValDate)+1</f>
        <v>2023</v>
      </c>
      <c r="D12" s="25">
        <f>+C12+1</f>
        <v>2024</v>
      </c>
      <c r="E12" s="25">
        <f t="shared" ref="E12:L12" si="0">+D12+1</f>
        <v>2025</v>
      </c>
      <c r="F12" s="25">
        <f t="shared" si="0"/>
        <v>2026</v>
      </c>
      <c r="G12" s="25">
        <f t="shared" si="0"/>
        <v>2027</v>
      </c>
      <c r="H12" s="25">
        <f t="shared" si="0"/>
        <v>2028</v>
      </c>
      <c r="I12" s="25">
        <f t="shared" si="0"/>
        <v>2029</v>
      </c>
      <c r="J12" s="25">
        <f t="shared" si="0"/>
        <v>2030</v>
      </c>
      <c r="K12" s="25">
        <f t="shared" si="0"/>
        <v>2031</v>
      </c>
      <c r="L12" s="25">
        <f t="shared" si="0"/>
        <v>2032</v>
      </c>
      <c r="M12" s="25" t="s">
        <v>12</v>
      </c>
      <c r="O12" s="71" t="s">
        <v>10</v>
      </c>
      <c r="P12" s="25" t="s">
        <v>12</v>
      </c>
      <c r="Q12" s="25">
        <f t="shared" ref="Q12:Z12" si="1">C12-1</f>
        <v>2022</v>
      </c>
      <c r="R12" s="25">
        <f t="shared" si="1"/>
        <v>2023</v>
      </c>
      <c r="S12" s="25">
        <f t="shared" si="1"/>
        <v>2024</v>
      </c>
      <c r="T12" s="25">
        <f t="shared" si="1"/>
        <v>2025</v>
      </c>
      <c r="U12" s="25">
        <f t="shared" si="1"/>
        <v>2026</v>
      </c>
      <c r="V12" s="25">
        <f t="shared" si="1"/>
        <v>2027</v>
      </c>
      <c r="W12" s="25">
        <f t="shared" si="1"/>
        <v>2028</v>
      </c>
      <c r="X12" s="25">
        <f t="shared" si="1"/>
        <v>2029</v>
      </c>
      <c r="Y12" s="25">
        <f t="shared" si="1"/>
        <v>2030</v>
      </c>
      <c r="Z12" s="25">
        <f t="shared" si="1"/>
        <v>2031</v>
      </c>
      <c r="AA12" s="25" t="s">
        <v>12</v>
      </c>
    </row>
    <row r="13" spans="1:27" x14ac:dyDescent="0.3">
      <c r="A13" s="76">
        <f t="shared" ref="A13:A22" si="2">A14-1</f>
        <v>2012</v>
      </c>
      <c r="B13" s="105">
        <f>'3-Current'!B32</f>
        <v>22632</v>
      </c>
      <c r="C13" s="104">
        <f>'3-Current'!C32</f>
        <v>22632</v>
      </c>
      <c r="D13" s="104">
        <f>'3-Current'!D32</f>
        <v>0</v>
      </c>
      <c r="E13" s="104">
        <f>'3-Current'!E32</f>
        <v>0</v>
      </c>
      <c r="F13" s="104">
        <f>'3-Current'!F32</f>
        <v>0</v>
      </c>
      <c r="G13" s="104">
        <f>'3-Current'!G32</f>
        <v>0</v>
      </c>
      <c r="H13" s="104">
        <f>'3-Current'!H32</f>
        <v>0</v>
      </c>
      <c r="I13" s="104">
        <f>'3-Current'!I32</f>
        <v>0</v>
      </c>
      <c r="J13" s="104">
        <f>'3-Current'!J32</f>
        <v>0</v>
      </c>
      <c r="K13" s="104">
        <f>'3-Current'!K32</f>
        <v>0</v>
      </c>
      <c r="L13" s="104">
        <f>'3-Current'!L32</f>
        <v>0</v>
      </c>
      <c r="M13" s="110">
        <f t="shared" ref="M13:M23" si="3">SUMPRODUCT(C13:L13,C54:L54)</f>
        <v>22506.315569331404</v>
      </c>
      <c r="O13" s="76">
        <f t="shared" ref="O13:O22" si="4">O14-1</f>
        <v>2012</v>
      </c>
      <c r="P13" s="105">
        <f>'3-Current'!P32</f>
        <v>80655.132312673712</v>
      </c>
      <c r="Q13" s="104">
        <f>'3-Current'!Q32</f>
        <v>80655.132312673712</v>
      </c>
      <c r="R13" s="104">
        <f>'3-Current'!R32</f>
        <v>0</v>
      </c>
      <c r="S13" s="104">
        <f>'3-Current'!S32</f>
        <v>0</v>
      </c>
      <c r="T13" s="104">
        <f>'3-Current'!T32</f>
        <v>0</v>
      </c>
      <c r="U13" s="104">
        <f>'3-Current'!U32</f>
        <v>0</v>
      </c>
      <c r="V13" s="104">
        <f>'3-Current'!V32</f>
        <v>0</v>
      </c>
      <c r="W13" s="104">
        <f>'3-Current'!W32</f>
        <v>0</v>
      </c>
      <c r="X13" s="104">
        <f>'3-Current'!X32</f>
        <v>0</v>
      </c>
      <c r="Y13" s="104">
        <f>'3-Current'!Y32</f>
        <v>0</v>
      </c>
      <c r="Z13" s="104">
        <f>'3-Current'!Z32</f>
        <v>0</v>
      </c>
      <c r="AA13" s="110">
        <f t="shared" ref="AA13:AA22" si="5">SUMPRODUCT(Q13:Z13,Q54:Z54)</f>
        <v>80207.222521881078</v>
      </c>
    </row>
    <row r="14" spans="1:27" x14ac:dyDescent="0.3">
      <c r="A14" s="76">
        <f t="shared" si="2"/>
        <v>2013</v>
      </c>
      <c r="B14" s="105">
        <f>'3-Current'!B33</f>
        <v>111376.49999999993</v>
      </c>
      <c r="C14" s="104">
        <f>'3-Current'!C33</f>
        <v>111376.49999999993</v>
      </c>
      <c r="D14" s="104">
        <f>'3-Current'!D33</f>
        <v>0</v>
      </c>
      <c r="E14" s="104">
        <f>'3-Current'!E33</f>
        <v>0</v>
      </c>
      <c r="F14" s="104">
        <f>'3-Current'!F33</f>
        <v>0</v>
      </c>
      <c r="G14" s="104">
        <f>'3-Current'!G33</f>
        <v>0</v>
      </c>
      <c r="H14" s="104">
        <f>'3-Current'!H33</f>
        <v>0</v>
      </c>
      <c r="I14" s="104">
        <f>'3-Current'!I33</f>
        <v>0</v>
      </c>
      <c r="J14" s="104">
        <f>'3-Current'!J33</f>
        <v>0</v>
      </c>
      <c r="K14" s="104">
        <f>'3-Current'!K33</f>
        <v>0</v>
      </c>
      <c r="L14" s="104">
        <f>'3-Current'!L33</f>
        <v>0</v>
      </c>
      <c r="M14" s="110">
        <f t="shared" si="3"/>
        <v>110659.53562851349</v>
      </c>
      <c r="O14" s="76">
        <f t="shared" si="4"/>
        <v>2013</v>
      </c>
      <c r="P14" s="105">
        <f>'3-Current'!P33</f>
        <v>460162.82323022187</v>
      </c>
      <c r="Q14" s="104">
        <f>'3-Current'!Q33</f>
        <v>270408.9777714478</v>
      </c>
      <c r="R14" s="104">
        <f>'3-Current'!R33</f>
        <v>189753.8454587741</v>
      </c>
      <c r="S14" s="104">
        <f>'3-Current'!S33</f>
        <v>0</v>
      </c>
      <c r="T14" s="104">
        <f>'3-Current'!T33</f>
        <v>0</v>
      </c>
      <c r="U14" s="104">
        <f>'3-Current'!U33</f>
        <v>0</v>
      </c>
      <c r="V14" s="104">
        <f>'3-Current'!V33</f>
        <v>0</v>
      </c>
      <c r="W14" s="104">
        <f>'3-Current'!W33</f>
        <v>0</v>
      </c>
      <c r="X14" s="104">
        <f>'3-Current'!X33</f>
        <v>0</v>
      </c>
      <c r="Y14" s="104">
        <f>'3-Current'!Y33</f>
        <v>0</v>
      </c>
      <c r="Z14" s="104">
        <f>'3-Current'!Z33</f>
        <v>0</v>
      </c>
      <c r="AA14" s="110">
        <f t="shared" si="5"/>
        <v>454634.38018521463</v>
      </c>
    </row>
    <row r="15" spans="1:27" x14ac:dyDescent="0.3">
      <c r="A15" s="76">
        <f t="shared" si="2"/>
        <v>2014</v>
      </c>
      <c r="B15" s="105">
        <f>'3-Current'!B34</f>
        <v>479892.49999999959</v>
      </c>
      <c r="C15" s="104">
        <f>'3-Current'!C34</f>
        <v>284318.49999999977</v>
      </c>
      <c r="D15" s="104">
        <f>'3-Current'!D34</f>
        <v>195573.99999999983</v>
      </c>
      <c r="E15" s="104">
        <f>'3-Current'!E34</f>
        <v>0</v>
      </c>
      <c r="F15" s="104">
        <f>'3-Current'!F34</f>
        <v>0</v>
      </c>
      <c r="G15" s="104">
        <f>'3-Current'!G34</f>
        <v>0</v>
      </c>
      <c r="H15" s="104">
        <f>'3-Current'!H34</f>
        <v>0</v>
      </c>
      <c r="I15" s="104">
        <f>'3-Current'!I34</f>
        <v>0</v>
      </c>
      <c r="J15" s="104">
        <f>'3-Current'!J34</f>
        <v>0</v>
      </c>
      <c r="K15" s="104">
        <f>'3-Current'!K34</f>
        <v>0</v>
      </c>
      <c r="L15" s="104">
        <f>'3-Current'!L34</f>
        <v>0</v>
      </c>
      <c r="M15" s="110">
        <f t="shared" si="3"/>
        <v>474714.79783582315</v>
      </c>
      <c r="O15" s="76">
        <f t="shared" si="4"/>
        <v>2014</v>
      </c>
      <c r="P15" s="105">
        <f>'3-Current'!P34</f>
        <v>800199.12673834199</v>
      </c>
      <c r="Q15" s="104">
        <f>'3-Current'!Q34</f>
        <v>400099.563369171</v>
      </c>
      <c r="R15" s="104">
        <f>'3-Current'!R34</f>
        <v>294926.70441397256</v>
      </c>
      <c r="S15" s="104">
        <f>'3-Current'!S34</f>
        <v>105172.85895519845</v>
      </c>
      <c r="T15" s="104">
        <f>'3-Current'!T34</f>
        <v>0</v>
      </c>
      <c r="U15" s="104">
        <f>'3-Current'!U34</f>
        <v>0</v>
      </c>
      <c r="V15" s="104">
        <f>'3-Current'!V34</f>
        <v>0</v>
      </c>
      <c r="W15" s="104">
        <f>'3-Current'!W34</f>
        <v>0</v>
      </c>
      <c r="X15" s="104">
        <f>'3-Current'!X34</f>
        <v>0</v>
      </c>
      <c r="Y15" s="104">
        <f>'3-Current'!Y34</f>
        <v>0</v>
      </c>
      <c r="Z15" s="104">
        <f>'3-Current'!Z34</f>
        <v>0</v>
      </c>
      <c r="AA15" s="110">
        <f t="shared" si="5"/>
        <v>788789.19002773974</v>
      </c>
    </row>
    <row r="16" spans="1:27" x14ac:dyDescent="0.3">
      <c r="A16" s="76">
        <f t="shared" si="2"/>
        <v>2015</v>
      </c>
      <c r="B16" s="105">
        <f>'3-Current'!B35</f>
        <v>810339.4999999993</v>
      </c>
      <c r="C16" s="104">
        <f>'3-Current'!C35</f>
        <v>405169.74999999965</v>
      </c>
      <c r="D16" s="104">
        <f>'3-Current'!D35</f>
        <v>300371.87499999977</v>
      </c>
      <c r="E16" s="104">
        <f>'3-Current'!E35</f>
        <v>104797.87499999991</v>
      </c>
      <c r="F16" s="104">
        <f>'3-Current'!F35</f>
        <v>0</v>
      </c>
      <c r="G16" s="104">
        <f>'3-Current'!G35</f>
        <v>0</v>
      </c>
      <c r="H16" s="104">
        <f>'3-Current'!H35</f>
        <v>0</v>
      </c>
      <c r="I16" s="104">
        <f>'3-Current'!I35</f>
        <v>0</v>
      </c>
      <c r="J16" s="104">
        <f>'3-Current'!J35</f>
        <v>0</v>
      </c>
      <c r="K16" s="104">
        <f>'3-Current'!K35</f>
        <v>0</v>
      </c>
      <c r="L16" s="104">
        <f>'3-Current'!L35</f>
        <v>0</v>
      </c>
      <c r="M16" s="110">
        <f t="shared" si="3"/>
        <v>804045.41460538039</v>
      </c>
      <c r="O16" s="76">
        <f t="shared" si="4"/>
        <v>2015</v>
      </c>
      <c r="P16" s="105">
        <f>'3-Current'!P35</f>
        <v>1111899.3533150337</v>
      </c>
      <c r="Q16" s="104">
        <f>'3-Current'!Q35</f>
        <v>440748.35707514349</v>
      </c>
      <c r="R16" s="104">
        <f>'3-Current'!R35</f>
        <v>335575.49811994506</v>
      </c>
      <c r="S16" s="104">
        <f>'3-Current'!S35</f>
        <v>220374.17853757174</v>
      </c>
      <c r="T16" s="104">
        <f>'3-Current'!T35</f>
        <v>115201.31958237331</v>
      </c>
      <c r="U16" s="104">
        <f>'3-Current'!U35</f>
        <v>0</v>
      </c>
      <c r="V16" s="104">
        <f>'3-Current'!V35</f>
        <v>0</v>
      </c>
      <c r="W16" s="104">
        <f>'3-Current'!W35</f>
        <v>0</v>
      </c>
      <c r="X16" s="104">
        <f>'3-Current'!X35</f>
        <v>0</v>
      </c>
      <c r="Y16" s="104">
        <f>'3-Current'!Y35</f>
        <v>0</v>
      </c>
      <c r="Z16" s="104">
        <f>'3-Current'!Z35</f>
        <v>0</v>
      </c>
      <c r="AA16" s="110">
        <f t="shared" si="5"/>
        <v>1099151.5249808116</v>
      </c>
    </row>
    <row r="17" spans="1:43" x14ac:dyDescent="0.3">
      <c r="A17" s="76">
        <f t="shared" si="2"/>
        <v>2016</v>
      </c>
      <c r="B17" s="105">
        <f>'3-Current'!B36</f>
        <v>1017841.9999999991</v>
      </c>
      <c r="C17" s="104">
        <f>'3-Current'!C36</f>
        <v>409145.91666666628</v>
      </c>
      <c r="D17" s="104">
        <f>'3-Current'!D36</f>
        <v>304348.0416666664</v>
      </c>
      <c r="E17" s="104">
        <f>'3-Current'!E36</f>
        <v>204572.95833333314</v>
      </c>
      <c r="F17" s="104">
        <f>'3-Current'!F36</f>
        <v>99775.083333333241</v>
      </c>
      <c r="G17" s="104">
        <f>'3-Current'!G36</f>
        <v>0</v>
      </c>
      <c r="H17" s="104">
        <f>'3-Current'!H36</f>
        <v>0</v>
      </c>
      <c r="I17" s="104">
        <f>'3-Current'!I36</f>
        <v>0</v>
      </c>
      <c r="J17" s="104">
        <f>'3-Current'!J36</f>
        <v>0</v>
      </c>
      <c r="K17" s="104">
        <f>'3-Current'!K36</f>
        <v>0</v>
      </c>
      <c r="L17" s="104">
        <f>'3-Current'!L36</f>
        <v>0</v>
      </c>
      <c r="M17" s="110">
        <f t="shared" si="3"/>
        <v>1005853.8917367732</v>
      </c>
      <c r="O17" s="76">
        <f t="shared" si="4"/>
        <v>2016</v>
      </c>
      <c r="P17" s="105">
        <f>'3-Current'!P36</f>
        <v>3863337.3886747775</v>
      </c>
      <c r="Q17" s="104">
        <f>'3-Current'!Q36</f>
        <v>1287779.1295582592</v>
      </c>
      <c r="R17" s="104">
        <f>'3-Current'!R36</f>
        <v>935320.29942708835</v>
      </c>
      <c r="S17" s="104">
        <f>'3-Current'!S36</f>
        <v>820118.97984471498</v>
      </c>
      <c r="T17" s="104">
        <f>'3-Current'!T36</f>
        <v>467660.14971354418</v>
      </c>
      <c r="U17" s="104">
        <f>'3-Current'!U36</f>
        <v>352458.83013117086</v>
      </c>
      <c r="V17" s="104">
        <f>'3-Current'!V36</f>
        <v>0</v>
      </c>
      <c r="W17" s="104">
        <f>'3-Current'!W36</f>
        <v>0</v>
      </c>
      <c r="X17" s="104">
        <f>'3-Current'!X36</f>
        <v>0</v>
      </c>
      <c r="Y17" s="104">
        <f>'3-Current'!Y36</f>
        <v>0</v>
      </c>
      <c r="Z17" s="104">
        <f>'3-Current'!Z36</f>
        <v>0</v>
      </c>
      <c r="AA17" s="110">
        <f t="shared" si="5"/>
        <v>3800647.5940992977</v>
      </c>
    </row>
    <row r="18" spans="1:43" x14ac:dyDescent="0.3">
      <c r="A18" s="76">
        <f t="shared" si="2"/>
        <v>2017</v>
      </c>
      <c r="B18" s="105">
        <f>'3-Current'!B37</f>
        <v>3566313.4999999991</v>
      </c>
      <c r="C18" s="104">
        <f>'3-Current'!C37</f>
        <v>1188771.166666666</v>
      </c>
      <c r="D18" s="104">
        <f>'3-Current'!D37</f>
        <v>859030.83333333302</v>
      </c>
      <c r="E18" s="104">
        <f>'3-Current'!E37</f>
        <v>759255.74999999977</v>
      </c>
      <c r="F18" s="104">
        <f>'3-Current'!F37</f>
        <v>429515.41666666651</v>
      </c>
      <c r="G18" s="104">
        <f>'3-Current'!G37</f>
        <v>329740.33333333326</v>
      </c>
      <c r="H18" s="104">
        <f>'3-Current'!H37</f>
        <v>0</v>
      </c>
      <c r="I18" s="104">
        <f>'3-Current'!I37</f>
        <v>0</v>
      </c>
      <c r="J18" s="104">
        <f>'3-Current'!J37</f>
        <v>0</v>
      </c>
      <c r="K18" s="104">
        <f>'3-Current'!K37</f>
        <v>0</v>
      </c>
      <c r="L18" s="104">
        <f>'3-Current'!L37</f>
        <v>0</v>
      </c>
      <c r="M18" s="110">
        <f t="shared" si="3"/>
        <v>3466310.0862278324</v>
      </c>
      <c r="O18" s="76">
        <f t="shared" si="4"/>
        <v>2017</v>
      </c>
      <c r="P18" s="105">
        <f>'3-Current'!P37</f>
        <v>4359114.9227208039</v>
      </c>
      <c r="Q18" s="104">
        <f>'3-Current'!Q37</f>
        <v>1354122.853278579</v>
      </c>
      <c r="R18" s="104">
        <f>'3-Current'!R37</f>
        <v>1001664.0231474083</v>
      </c>
      <c r="S18" s="104">
        <f>'3-Current'!S37</f>
        <v>902748.56885238609</v>
      </c>
      <c r="T18" s="104">
        <f>'3-Current'!T37</f>
        <v>550289.73872121528</v>
      </c>
      <c r="U18" s="104">
        <f>'3-Current'!U37</f>
        <v>451374.28442619304</v>
      </c>
      <c r="V18" s="104">
        <f>'3-Current'!V37</f>
        <v>98915.454295022195</v>
      </c>
      <c r="W18" s="104">
        <f>'3-Current'!W37</f>
        <v>0</v>
      </c>
      <c r="X18" s="104">
        <f>'3-Current'!X37</f>
        <v>0</v>
      </c>
      <c r="Y18" s="104">
        <f>'3-Current'!Y37</f>
        <v>0</v>
      </c>
      <c r="Z18" s="104">
        <f>'3-Current'!Z37</f>
        <v>0</v>
      </c>
      <c r="AA18" s="110">
        <f t="shared" si="5"/>
        <v>4223723.3485339452</v>
      </c>
    </row>
    <row r="19" spans="1:43" x14ac:dyDescent="0.3">
      <c r="A19" s="76">
        <f t="shared" si="2"/>
        <v>2018</v>
      </c>
      <c r="B19" s="105">
        <f>'3-Current'!B38</f>
        <v>4188563.4999999991</v>
      </c>
      <c r="C19" s="104">
        <f>'3-Current'!C38</f>
        <v>1294446.1249999995</v>
      </c>
      <c r="D19" s="104">
        <f>'3-Current'!D38</f>
        <v>964705.79166666651</v>
      </c>
      <c r="E19" s="104">
        <f>'3-Current'!E38</f>
        <v>862964.08333333314</v>
      </c>
      <c r="F19" s="104">
        <f>'3-Current'!F38</f>
        <v>533223.74999999988</v>
      </c>
      <c r="G19" s="104">
        <f>'3-Current'!G38</f>
        <v>431482.04166666657</v>
      </c>
      <c r="H19" s="104">
        <f>'3-Current'!H38</f>
        <v>101741.70833333333</v>
      </c>
      <c r="I19" s="104">
        <f>'3-Current'!I38</f>
        <v>0</v>
      </c>
      <c r="J19" s="104">
        <f>'3-Current'!J38</f>
        <v>0</v>
      </c>
      <c r="K19" s="104">
        <f>'3-Current'!K38</f>
        <v>0</v>
      </c>
      <c r="L19" s="104">
        <f>'3-Current'!L38</f>
        <v>0</v>
      </c>
      <c r="M19" s="110">
        <f t="shared" si="3"/>
        <v>3997976.8550325669</v>
      </c>
      <c r="O19" s="76">
        <f t="shared" si="4"/>
        <v>2018</v>
      </c>
      <c r="P19" s="105">
        <f>'3-Current'!P38</f>
        <v>4368923.5491498029</v>
      </c>
      <c r="Q19" s="104">
        <f>'3-Current'!Q38</f>
        <v>1092230.8872874507</v>
      </c>
      <c r="R19" s="104">
        <f>'3-Current'!R38</f>
        <v>893359.75618685456</v>
      </c>
      <c r="S19" s="104">
        <f>'3-Current'!S38</f>
        <v>794444.30189183238</v>
      </c>
      <c r="T19" s="104">
        <f>'3-Current'!T38</f>
        <v>595573.17079123645</v>
      </c>
      <c r="U19" s="104">
        <f>'3-Current'!U38</f>
        <v>496657.71649621427</v>
      </c>
      <c r="V19" s="104">
        <f>'3-Current'!V38</f>
        <v>297786.58539561823</v>
      </c>
      <c r="W19" s="104">
        <f>'3-Current'!W38</f>
        <v>198871.13110059605</v>
      </c>
      <c r="X19" s="104">
        <f>'3-Current'!X38</f>
        <v>0</v>
      </c>
      <c r="Y19" s="104">
        <f>'3-Current'!Y38</f>
        <v>0</v>
      </c>
      <c r="Z19" s="104">
        <f>'3-Current'!Z38</f>
        <v>0</v>
      </c>
      <c r="AA19" s="110">
        <f t="shared" si="5"/>
        <v>4116698.3649184057</v>
      </c>
    </row>
    <row r="20" spans="1:43" x14ac:dyDescent="0.3">
      <c r="A20" s="76">
        <f t="shared" si="2"/>
        <v>2019</v>
      </c>
      <c r="B20" s="105">
        <f>'3-Current'!B39</f>
        <v>4019062.4999999995</v>
      </c>
      <c r="C20" s="104">
        <f>'3-Current'!C39</f>
        <v>1004765.625</v>
      </c>
      <c r="D20" s="104">
        <f>'3-Current'!D39</f>
        <v>829880.49999999977</v>
      </c>
      <c r="E20" s="104">
        <f>'3-Current'!E39</f>
        <v>728138.79166666651</v>
      </c>
      <c r="F20" s="104">
        <f>'3-Current'!F39</f>
        <v>553253.66666666663</v>
      </c>
      <c r="G20" s="104">
        <f>'3-Current'!G39</f>
        <v>451511.95833333331</v>
      </c>
      <c r="H20" s="104">
        <f>'3-Current'!H39</f>
        <v>276626.83333333331</v>
      </c>
      <c r="I20" s="104">
        <f>'3-Current'!I39</f>
        <v>174885.125</v>
      </c>
      <c r="J20" s="104">
        <f>'3-Current'!J39</f>
        <v>0</v>
      </c>
      <c r="K20" s="104">
        <f>'3-Current'!K39</f>
        <v>0</v>
      </c>
      <c r="L20" s="104">
        <f>'3-Current'!L39</f>
        <v>0</v>
      </c>
      <c r="M20" s="110">
        <f t="shared" si="3"/>
        <v>3783416.5716930926</v>
      </c>
      <c r="O20" s="76">
        <f t="shared" si="4"/>
        <v>2019</v>
      </c>
      <c r="P20" s="105">
        <f>'3-Current'!P39</f>
        <v>5654979.2807936138</v>
      </c>
      <c r="Q20" s="104">
        <f>'3-Current'!Q39</f>
        <v>1469950.3016344053</v>
      </c>
      <c r="R20" s="104">
        <f>'3-Current'!R39</f>
        <v>1046257.2447898021</v>
      </c>
      <c r="S20" s="104">
        <f>'3-Current'!S39</f>
        <v>933846.28191779857</v>
      </c>
      <c r="T20" s="104">
        <f>'3-Current'!T39</f>
        <v>734975.15081720264</v>
      </c>
      <c r="U20" s="104">
        <f>'3-Current'!U39</f>
        <v>622564.1879451992</v>
      </c>
      <c r="V20" s="104">
        <f>'3-Current'!V39</f>
        <v>423693.0568446031</v>
      </c>
      <c r="W20" s="104">
        <f>'3-Current'!W39</f>
        <v>311282.0939725996</v>
      </c>
      <c r="X20" s="104">
        <f>'3-Current'!X39</f>
        <v>112410.96287200353</v>
      </c>
      <c r="Y20" s="104">
        <f>'3-Current'!Y39</f>
        <v>0</v>
      </c>
      <c r="Z20" s="104">
        <f>'3-Current'!Z39</f>
        <v>0</v>
      </c>
      <c r="AA20" s="110">
        <f t="shared" si="5"/>
        <v>5300935.9430626165</v>
      </c>
    </row>
    <row r="21" spans="1:43" x14ac:dyDescent="0.3">
      <c r="A21" s="76">
        <f t="shared" si="2"/>
        <v>2020</v>
      </c>
      <c r="B21" s="105">
        <f>'3-Current'!B40</f>
        <v>5133877.5</v>
      </c>
      <c r="C21" s="104">
        <f>'3-Current'!C40</f>
        <v>1336553.8181818181</v>
      </c>
      <c r="D21" s="104">
        <f>'3-Current'!D40</f>
        <v>949330.92045454541</v>
      </c>
      <c r="E21" s="104">
        <f>'3-Current'!E40</f>
        <v>843162.03409090894</v>
      </c>
      <c r="F21" s="104">
        <f>'3-Current'!F40</f>
        <v>668276.90909090906</v>
      </c>
      <c r="G21" s="104">
        <f>'3-Current'!G40</f>
        <v>562108.02272727271</v>
      </c>
      <c r="H21" s="104">
        <f>'3-Current'!H40</f>
        <v>387222.89772727271</v>
      </c>
      <c r="I21" s="104">
        <f>'3-Current'!I40</f>
        <v>281054.01136363635</v>
      </c>
      <c r="J21" s="104">
        <f>'3-Current'!J40</f>
        <v>106168.88636363637</v>
      </c>
      <c r="K21" s="104">
        <f>'3-Current'!K40</f>
        <v>0</v>
      </c>
      <c r="L21" s="104">
        <f>'3-Current'!L40</f>
        <v>0</v>
      </c>
      <c r="M21" s="110">
        <f t="shared" si="3"/>
        <v>4805983.6401097747</v>
      </c>
      <c r="O21" s="76">
        <f t="shared" si="4"/>
        <v>2020</v>
      </c>
      <c r="P21" s="105">
        <f>'3-Current'!P40</f>
        <v>6262760.2929402422</v>
      </c>
      <c r="Q21" s="104">
        <f>'3-Current'!Q40</f>
        <v>1685057.5398336651</v>
      </c>
      <c r="R21" s="104">
        <f>'3-Current'!R40</f>
        <v>1207587.6734392471</v>
      </c>
      <c r="S21" s="104">
        <f>'3-Current'!S40</f>
        <v>842528.76991683256</v>
      </c>
      <c r="T21" s="104">
        <f>'3-Current'!T40</f>
        <v>716204.79959162697</v>
      </c>
      <c r="U21" s="104">
        <f>'3-Current'!U40</f>
        <v>603793.83671962353</v>
      </c>
      <c r="V21" s="104">
        <f>'3-Current'!V40</f>
        <v>477469.86639441806</v>
      </c>
      <c r="W21" s="104">
        <f>'3-Current'!W40</f>
        <v>365058.9035224145</v>
      </c>
      <c r="X21" s="104">
        <f>'3-Current'!X40</f>
        <v>238734.93319720903</v>
      </c>
      <c r="Y21" s="104">
        <f>'3-Current'!Y40</f>
        <v>126323.9703252055</v>
      </c>
      <c r="Z21" s="104">
        <f>'3-Current'!Z40</f>
        <v>0</v>
      </c>
      <c r="AA21" s="110">
        <f t="shared" si="5"/>
        <v>5837527.1660991395</v>
      </c>
    </row>
    <row r="22" spans="1:43" x14ac:dyDescent="0.3">
      <c r="A22" s="76">
        <f t="shared" si="2"/>
        <v>2021</v>
      </c>
      <c r="B22" s="105">
        <f>'3-Current'!B41</f>
        <v>5661815.9999999991</v>
      </c>
      <c r="C22" s="104">
        <f>'3-Current'!C41</f>
        <v>1523973.4515151514</v>
      </c>
      <c r="D22" s="104">
        <f>'3-Current'!D41</f>
        <v>1089895.6454545455</v>
      </c>
      <c r="E22" s="104">
        <f>'3-Current'!E41</f>
        <v>761986.72575757571</v>
      </c>
      <c r="F22" s="104">
        <f>'3-Current'!F41</f>
        <v>651116.70909090899</v>
      </c>
      <c r="G22" s="104">
        <f>'3-Current'!G41</f>
        <v>544947.82272727275</v>
      </c>
      <c r="H22" s="104">
        <f>'3-Current'!H41</f>
        <v>434077.80606060603</v>
      </c>
      <c r="I22" s="104">
        <f>'3-Current'!I41</f>
        <v>327908.91969696968</v>
      </c>
      <c r="J22" s="104">
        <f>'3-Current'!J41</f>
        <v>217038.90303030302</v>
      </c>
      <c r="K22" s="104">
        <f>'3-Current'!K41</f>
        <v>110870.01666666666</v>
      </c>
      <c r="L22" s="104">
        <f>'3-Current'!L41</f>
        <v>0</v>
      </c>
      <c r="M22" s="110">
        <f t="shared" si="3"/>
        <v>5270667.7552689891</v>
      </c>
      <c r="O22" s="76">
        <f t="shared" si="4"/>
        <v>2021</v>
      </c>
      <c r="P22" s="105">
        <f>'3-Current'!P41</f>
        <v>3789719.1097561647</v>
      </c>
      <c r="Q22" s="104">
        <f>'3-Current'!Q41</f>
        <v>1010591.762601644</v>
      </c>
      <c r="R22" s="104">
        <f>'3-Current'!R41</f>
        <v>757943.82195123297</v>
      </c>
      <c r="S22" s="104">
        <f>'3-Current'!S41</f>
        <v>505295.88130082202</v>
      </c>
      <c r="T22" s="104">
        <f>'3-Current'!T41</f>
        <v>378971.91097561648</v>
      </c>
      <c r="U22" s="104">
        <f>'3-Current'!U41</f>
        <v>378971.91097561648</v>
      </c>
      <c r="V22" s="104">
        <f>'3-Current'!V41</f>
        <v>252647.94065041101</v>
      </c>
      <c r="W22" s="104">
        <f>'3-Current'!W41</f>
        <v>252647.94065041101</v>
      </c>
      <c r="X22" s="104">
        <f>'3-Current'!X41</f>
        <v>126323.9703252055</v>
      </c>
      <c r="Y22" s="104">
        <f>'3-Current'!Y41</f>
        <v>126323.9703252055</v>
      </c>
      <c r="Z22" s="104">
        <f>'3-Current'!Z41</f>
        <v>0</v>
      </c>
      <c r="AA22" s="110">
        <f t="shared" si="5"/>
        <v>3522931.3229892156</v>
      </c>
    </row>
    <row r="23" spans="1:43" x14ac:dyDescent="0.3">
      <c r="A23" s="76">
        <f>YEAR(ValDate)</f>
        <v>2022</v>
      </c>
      <c r="B23" s="106">
        <f>'3-Current'!B42</f>
        <v>3326100.4999999995</v>
      </c>
      <c r="C23" s="104">
        <f>'3-Current'!C42</f>
        <v>886960.1333333333</v>
      </c>
      <c r="D23" s="104">
        <f>'3-Current'!D42</f>
        <v>665220.1</v>
      </c>
      <c r="E23" s="104">
        <f>'3-Current'!E42</f>
        <v>443480.06666666665</v>
      </c>
      <c r="F23" s="104">
        <f>'3-Current'!F42</f>
        <v>332610.05</v>
      </c>
      <c r="G23" s="104">
        <f>'3-Current'!G42</f>
        <v>332610.05</v>
      </c>
      <c r="H23" s="104">
        <f>'3-Current'!H42</f>
        <v>221740.03333333333</v>
      </c>
      <c r="I23" s="104">
        <f>'3-Current'!I42</f>
        <v>221740.03333333333</v>
      </c>
      <c r="J23" s="104">
        <f>'3-Current'!J42</f>
        <v>110870.01666666666</v>
      </c>
      <c r="K23" s="104">
        <f>'3-Current'!K42</f>
        <v>110870.01666666666</v>
      </c>
      <c r="L23" s="104">
        <f>'3-Current'!L42</f>
        <v>0</v>
      </c>
      <c r="M23" s="115">
        <f t="shared" si="3"/>
        <v>3087760.8793083932</v>
      </c>
      <c r="O23" s="76">
        <f>$A$23</f>
        <v>2022</v>
      </c>
      <c r="P23" s="106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15"/>
    </row>
    <row r="24" spans="1:43" x14ac:dyDescent="0.3">
      <c r="A24" s="32"/>
      <c r="B24" s="118">
        <f t="shared" ref="B24:M24" si="6">SUM(B13:B23)</f>
        <v>28337815.999999996</v>
      </c>
      <c r="C24" s="118">
        <f t="shared" si="6"/>
        <v>8468112.9863636345</v>
      </c>
      <c r="D24" s="118">
        <f t="shared" si="6"/>
        <v>6158357.7075757561</v>
      </c>
      <c r="E24" s="118">
        <f t="shared" si="6"/>
        <v>4708358.2848484833</v>
      </c>
      <c r="F24" s="118">
        <f t="shared" si="6"/>
        <v>3267771.584848484</v>
      </c>
      <c r="G24" s="118">
        <f t="shared" si="6"/>
        <v>2652400.2287878785</v>
      </c>
      <c r="H24" s="118">
        <f t="shared" si="6"/>
        <v>1421409.2787878788</v>
      </c>
      <c r="I24" s="118">
        <f t="shared" si="6"/>
        <v>1005588.0893939394</v>
      </c>
      <c r="J24" s="118">
        <f t="shared" si="6"/>
        <v>434077.80606060603</v>
      </c>
      <c r="K24" s="118">
        <f t="shared" si="6"/>
        <v>221740.03333333333</v>
      </c>
      <c r="L24" s="118">
        <f t="shared" si="6"/>
        <v>0</v>
      </c>
      <c r="M24" s="118">
        <f t="shared" si="6"/>
        <v>26829895.743016474</v>
      </c>
      <c r="O24" s="32"/>
      <c r="P24" s="118">
        <f t="shared" ref="P24:AA24" si="7">SUM(P13:P23)</f>
        <v>30751750.979631677</v>
      </c>
      <c r="Q24" s="118">
        <f t="shared" si="7"/>
        <v>9091644.5047224388</v>
      </c>
      <c r="R24" s="118">
        <f t="shared" si="7"/>
        <v>6662388.8669343255</v>
      </c>
      <c r="S24" s="118">
        <f t="shared" si="7"/>
        <v>5124529.821217156</v>
      </c>
      <c r="T24" s="118">
        <f t="shared" si="7"/>
        <v>3558876.2401928152</v>
      </c>
      <c r="U24" s="118">
        <f t="shared" si="7"/>
        <v>2905820.7666940177</v>
      </c>
      <c r="V24" s="118">
        <f t="shared" si="7"/>
        <v>1550512.9035800726</v>
      </c>
      <c r="W24" s="118">
        <f t="shared" si="7"/>
        <v>1127860.0692460211</v>
      </c>
      <c r="X24" s="118">
        <f t="shared" si="7"/>
        <v>477469.86639441806</v>
      </c>
      <c r="Y24" s="118">
        <f t="shared" si="7"/>
        <v>252647.94065041101</v>
      </c>
      <c r="Z24" s="118">
        <f t="shared" si="7"/>
        <v>0</v>
      </c>
      <c r="AA24" s="118">
        <f t="shared" si="7"/>
        <v>29225246.057418264</v>
      </c>
    </row>
    <row r="25" spans="1:43" x14ac:dyDescent="0.3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7" spans="1:43" x14ac:dyDescent="0.3"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 spans="1:43" x14ac:dyDescent="0.3"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 spans="1:43" x14ac:dyDescent="0.3"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43" x14ac:dyDescent="0.3">
      <c r="B30" s="82" t="s">
        <v>119</v>
      </c>
      <c r="C30" s="132" t="s">
        <v>154</v>
      </c>
      <c r="D30" s="132" t="s">
        <v>155</v>
      </c>
      <c r="E30" s="132" t="s">
        <v>156</v>
      </c>
      <c r="F30" s="132" t="s">
        <v>157</v>
      </c>
      <c r="G30" s="132" t="s">
        <v>158</v>
      </c>
      <c r="H30" s="132" t="s">
        <v>159</v>
      </c>
      <c r="I30" s="132" t="s">
        <v>160</v>
      </c>
      <c r="J30" s="132" t="s">
        <v>161</v>
      </c>
      <c r="K30" s="132" t="s">
        <v>162</v>
      </c>
      <c r="L30" s="132" t="s">
        <v>163</v>
      </c>
      <c r="Q30" s="31"/>
      <c r="R30" s="31"/>
      <c r="S30" s="31"/>
      <c r="T30" s="31"/>
      <c r="U30" s="31"/>
      <c r="V30" s="31"/>
      <c r="W30" s="31"/>
      <c r="X30" s="31"/>
      <c r="Y30" s="31"/>
      <c r="Z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</row>
    <row r="31" spans="1:43" x14ac:dyDescent="0.3">
      <c r="A31" s="76" t="s">
        <v>291</v>
      </c>
      <c r="B31" s="84" t="s">
        <v>137</v>
      </c>
      <c r="C31" s="77" t="s">
        <v>139</v>
      </c>
      <c r="D31" s="77"/>
      <c r="E31" s="77"/>
      <c r="F31" s="77"/>
      <c r="G31" s="77"/>
      <c r="H31" s="77"/>
      <c r="I31" s="77"/>
      <c r="J31" s="77"/>
      <c r="K31" s="77"/>
      <c r="L31" s="77"/>
      <c r="O31" s="76" t="s">
        <v>291</v>
      </c>
      <c r="P31" s="84" t="s">
        <v>137</v>
      </c>
      <c r="Q31" s="77" t="s">
        <v>139</v>
      </c>
      <c r="R31" s="77"/>
      <c r="S31" s="77"/>
      <c r="T31" s="77"/>
      <c r="U31" s="77"/>
      <c r="V31" s="77"/>
      <c r="W31" s="77"/>
      <c r="X31" s="77"/>
      <c r="Y31" s="77"/>
      <c r="Z31" s="77"/>
      <c r="AA31" s="117"/>
      <c r="AC31" s="34" t="s">
        <v>357</v>
      </c>
      <c r="AE31" s="76" t="str">
        <f t="shared" ref="AE31:AE43" si="8">O31</f>
        <v>Issue</v>
      </c>
      <c r="AF31" s="84" t="str">
        <f t="shared" ref="AF31:AF43" si="9">P31</f>
        <v>Locked-In</v>
      </c>
      <c r="AG31" s="77" t="s">
        <v>365</v>
      </c>
      <c r="AH31" s="77"/>
      <c r="AI31" s="77"/>
      <c r="AJ31" s="77"/>
      <c r="AK31" s="77"/>
      <c r="AL31" s="77"/>
      <c r="AM31" s="77"/>
      <c r="AN31" s="77"/>
      <c r="AO31" s="77"/>
      <c r="AP31" s="77"/>
      <c r="AQ31" s="117"/>
    </row>
    <row r="32" spans="1:43" x14ac:dyDescent="0.3">
      <c r="A32" s="71" t="s">
        <v>10</v>
      </c>
      <c r="B32" s="71" t="s">
        <v>36</v>
      </c>
      <c r="C32" s="133">
        <v>0.5</v>
      </c>
      <c r="D32" s="133">
        <f>+C32+1</f>
        <v>1.5</v>
      </c>
      <c r="E32" s="133">
        <f t="shared" ref="E32:L32" si="10">+D32+1</f>
        <v>2.5</v>
      </c>
      <c r="F32" s="133">
        <f t="shared" si="10"/>
        <v>3.5</v>
      </c>
      <c r="G32" s="133">
        <f t="shared" si="10"/>
        <v>4.5</v>
      </c>
      <c r="H32" s="133">
        <f t="shared" si="10"/>
        <v>5.5</v>
      </c>
      <c r="I32" s="133">
        <f t="shared" si="10"/>
        <v>6.5</v>
      </c>
      <c r="J32" s="133">
        <f t="shared" si="10"/>
        <v>7.5</v>
      </c>
      <c r="K32" s="133">
        <f t="shared" si="10"/>
        <v>8.5</v>
      </c>
      <c r="L32" s="133">
        <f t="shared" si="10"/>
        <v>9.5</v>
      </c>
      <c r="O32" s="71" t="s">
        <v>10</v>
      </c>
      <c r="P32" s="71" t="s">
        <v>36</v>
      </c>
      <c r="Q32" s="133">
        <v>0.5</v>
      </c>
      <c r="R32" s="133">
        <f>+Q32+1</f>
        <v>1.5</v>
      </c>
      <c r="S32" s="133">
        <f t="shared" ref="S32:AA32" si="11">+R32+1</f>
        <v>2.5</v>
      </c>
      <c r="T32" s="133">
        <f t="shared" si="11"/>
        <v>3.5</v>
      </c>
      <c r="U32" s="133">
        <f t="shared" si="11"/>
        <v>4.5</v>
      </c>
      <c r="V32" s="133">
        <f t="shared" si="11"/>
        <v>5.5</v>
      </c>
      <c r="W32" s="133">
        <f t="shared" si="11"/>
        <v>6.5</v>
      </c>
      <c r="X32" s="133">
        <f t="shared" si="11"/>
        <v>7.5</v>
      </c>
      <c r="Y32" s="133">
        <f t="shared" si="11"/>
        <v>8.5</v>
      </c>
      <c r="Z32" s="133">
        <f t="shared" si="11"/>
        <v>9.5</v>
      </c>
      <c r="AA32" s="137">
        <f t="shared" si="11"/>
        <v>10.5</v>
      </c>
      <c r="AC32" s="34" t="s">
        <v>364</v>
      </c>
      <c r="AE32" s="71" t="str">
        <f t="shared" si="8"/>
        <v>Year</v>
      </c>
      <c r="AF32" s="71" t="str">
        <f t="shared" si="9"/>
        <v>Date</v>
      </c>
      <c r="AG32" s="133">
        <v>0.5</v>
      </c>
      <c r="AH32" s="133">
        <f>+AG32+1</f>
        <v>1.5</v>
      </c>
      <c r="AI32" s="133">
        <f t="shared" ref="AI32" si="12">+AH32+1</f>
        <v>2.5</v>
      </c>
      <c r="AJ32" s="133">
        <f t="shared" ref="AJ32" si="13">+AI32+1</f>
        <v>3.5</v>
      </c>
      <c r="AK32" s="133">
        <f t="shared" ref="AK32" si="14">+AJ32+1</f>
        <v>4.5</v>
      </c>
      <c r="AL32" s="133">
        <f t="shared" ref="AL32" si="15">+AK32+1</f>
        <v>5.5</v>
      </c>
      <c r="AM32" s="133">
        <f t="shared" ref="AM32" si="16">+AL32+1</f>
        <v>6.5</v>
      </c>
      <c r="AN32" s="133">
        <f t="shared" ref="AN32" si="17">+AM32+1</f>
        <v>7.5</v>
      </c>
      <c r="AO32" s="133">
        <f t="shared" ref="AO32" si="18">+AN32+1</f>
        <v>8.5</v>
      </c>
      <c r="AP32" s="133">
        <f t="shared" ref="AP32" si="19">+AO32+1</f>
        <v>9.5</v>
      </c>
      <c r="AQ32" s="137">
        <f t="shared" ref="AQ32" si="20">+AP32+1</f>
        <v>10.5</v>
      </c>
    </row>
    <row r="33" spans="1:43" x14ac:dyDescent="0.3">
      <c r="A33" s="76">
        <f t="shared" ref="A33:A42" si="21">A34-1</f>
        <v>2012</v>
      </c>
      <c r="B33" s="103">
        <f t="shared" ref="B33:B41" si="22">DATE(YEAR(B34)-1,12,31)</f>
        <v>41274</v>
      </c>
      <c r="C33" s="31">
        <f t="shared" ref="C33:C42" si="23">IF(Method=1,Q33,IF(Method=2,R33,IF(Method=3,(((1+R33)^R$32)/(1+$AC33))^(1/Q$32)-1,"n/a")))</f>
        <v>1.12E-2</v>
      </c>
      <c r="D33" s="31">
        <f t="shared" ref="D33:D42" si="24">IF(Method=1,R33,IF(Method=2,S33,IF(Method=3,((1+C33)^C$32*(1+AI33))^(1/D$32)-1,"n/a")))</f>
        <v>1.2068126E-2</v>
      </c>
      <c r="E33" s="31">
        <f t="shared" ref="E33:E42" si="25">IF(Method=1,S33,IF(Method=2,T33,IF(Method=3,((1+D33)^D$32*(1+AJ33))^(1/E$32)-1,"n/a")))</f>
        <v>1.3803684E-2</v>
      </c>
      <c r="F33" s="31">
        <f t="shared" ref="F33:F42" si="26">IF(Method=1,T33,IF(Method=2,U33,IF(Method=3,((1+E33)^E$32*(1+AK33))^(1/F$32)-1,"n/a")))</f>
        <v>1.5633315000000002E-2</v>
      </c>
      <c r="G33" s="31">
        <f t="shared" ref="G33:G42" si="27">IF(Method=1,U33,IF(Method=2,V33,IF(Method=3,((1+F33)^F$32*(1+AL33))^(1/G$32)-1,"n/a")))</f>
        <v>1.7532804999999999E-2</v>
      </c>
      <c r="H33" s="31">
        <f t="shared" ref="H33:H42" si="28">IF(Method=1,V33,IF(Method=2,W33,IF(Method=3,((1+G33)^G$32*(1+AM33))^(1/H$32)-1,"n/a")))</f>
        <v>1.8973414000000001E-2</v>
      </c>
      <c r="I33" s="31">
        <f t="shared" ref="I33:I42" si="29">IF(Method=1,W33,IF(Method=2,X33,IF(Method=3,((1+H33)^H$32*(1+AN33))^(1/I$32)-1,"n/a")))</f>
        <v>1.9933071E-2</v>
      </c>
      <c r="J33" s="31">
        <f t="shared" ref="J33:J42" si="30">IF(Method=1,X33,IF(Method=2,Y33,IF(Method=3,((1+I33)^I$32*(1+AO33))^(1/J$32)-1,"n/a")))</f>
        <v>2.0897499E-2</v>
      </c>
      <c r="K33" s="31">
        <f t="shared" ref="K33:K42" si="31">IF(Method=1,Y33,IF(Method=2,Z33,IF(Method=3,((1+J33)^J$32*(1+AP33))^(1/K$32)-1,"n/a")))</f>
        <v>2.1858206999999998E-2</v>
      </c>
      <c r="L33" s="31">
        <f t="shared" ref="L33:L42" si="32">IF(Method=1,Z33,IF(Method=2,AA33,IF(Method=3,((1+K33)^K$32*(1+AQ33))^(1/L$32)-1,"n/a")))</f>
        <v>2.2809797999999999E-2</v>
      </c>
      <c r="N33" s="31"/>
      <c r="O33" s="76">
        <f t="shared" ref="O33:O42" si="33">O34-1</f>
        <v>2012</v>
      </c>
      <c r="P33" s="103">
        <f t="shared" ref="P33:P42" si="34">B33</f>
        <v>41274</v>
      </c>
      <c r="Q33" s="26">
        <v>1.12E-2</v>
      </c>
      <c r="R33" s="26">
        <v>1.2068126E-2</v>
      </c>
      <c r="S33" s="26">
        <v>1.3803684E-2</v>
      </c>
      <c r="T33" s="26">
        <v>1.5633315000000002E-2</v>
      </c>
      <c r="U33" s="26">
        <v>1.7532804999999999E-2</v>
      </c>
      <c r="V33" s="26">
        <v>1.8973414000000001E-2</v>
      </c>
      <c r="W33" s="26">
        <v>1.9933071E-2</v>
      </c>
      <c r="X33" s="26">
        <v>2.0897499E-2</v>
      </c>
      <c r="Y33" s="26">
        <v>2.1858206999999998E-2</v>
      </c>
      <c r="Z33" s="26">
        <v>2.2809797999999999E-2</v>
      </c>
      <c r="AA33" s="26">
        <v>2.3761389000000001E-2</v>
      </c>
      <c r="AB33" s="31"/>
      <c r="AC33" s="26">
        <v>1.1634063E-2</v>
      </c>
      <c r="AE33" s="76">
        <f t="shared" si="8"/>
        <v>2012</v>
      </c>
      <c r="AF33" s="103">
        <f t="shared" si="9"/>
        <v>41274</v>
      </c>
      <c r="AG33" s="27">
        <f>(1+Q33)^AG$32-1</f>
        <v>5.5844071981228094E-3</v>
      </c>
      <c r="AH33" s="27">
        <f>(1+R33)^R$32/(1+Q33)^Q$32-1</f>
        <v>1.2502468445813486E-2</v>
      </c>
      <c r="AI33" s="27">
        <f t="shared" ref="AI33:AI42" si="35">(1+S33)^S$32/(1+R33)^R$32-1</f>
        <v>1.6412603051896069E-2</v>
      </c>
      <c r="AJ33" s="27">
        <f t="shared" ref="AJ33:AJ42" si="36">(1+T33)^T$32/(1+S33)^S$32-1</f>
        <v>2.0221851658345891E-2</v>
      </c>
      <c r="AK33" s="27">
        <f t="shared" ref="AK33:AK42" si="37">(1+U33)^U$32/(1+T33)^T$32-1</f>
        <v>2.4209039763227969E-2</v>
      </c>
      <c r="AL33" s="27">
        <f t="shared" ref="AL33:AL42" si="38">(1+V33)^V$32/(1+U33)^U$32-1</f>
        <v>2.5481436208734776E-2</v>
      </c>
      <c r="AM33" s="27">
        <f t="shared" ref="AM33:AM42" si="39">(1+W33)^W$32/(1+V33)^V$32-1</f>
        <v>2.522736265010983E-2</v>
      </c>
      <c r="AN33" s="27">
        <f t="shared" ref="AN33:AN42" si="40">(1+X33)^X$32/(1+W33)^W$32-1</f>
        <v>2.718854819932548E-2</v>
      </c>
      <c r="AO33" s="27">
        <f t="shared" ref="AO33:AO42" si="41">(1+Y33)^Y$32/(1+X33)^X$32-1</f>
        <v>2.9092392971528325E-2</v>
      </c>
      <c r="AP33" s="27">
        <f t="shared" ref="AP33:AP42" si="42">(1+Z33)^Z$32/(1+Y33)^Y$32-1</f>
        <v>3.0934183456483355E-2</v>
      </c>
      <c r="AQ33" s="27">
        <f t="shared" ref="AQ33:AQ42" si="43">(1+AA33)^AA$32/(1+Z33)^Z$32-1</f>
        <v>3.284577599416183E-2</v>
      </c>
    </row>
    <row r="34" spans="1:43" x14ac:dyDescent="0.3">
      <c r="A34" s="76">
        <f t="shared" si="21"/>
        <v>2013</v>
      </c>
      <c r="B34" s="103">
        <f t="shared" si="22"/>
        <v>41639</v>
      </c>
      <c r="C34" s="31">
        <f t="shared" si="23"/>
        <v>1.2999999999999999E-2</v>
      </c>
      <c r="D34" s="31">
        <f t="shared" si="24"/>
        <v>1.3532915E-2</v>
      </c>
      <c r="E34" s="31">
        <f t="shared" si="25"/>
        <v>1.6069660999999999E-2</v>
      </c>
      <c r="F34" s="31">
        <f t="shared" si="26"/>
        <v>1.9179293E-2</v>
      </c>
      <c r="G34" s="31">
        <f t="shared" si="27"/>
        <v>2.2356602E-2</v>
      </c>
      <c r="H34" s="31">
        <f t="shared" si="28"/>
        <v>2.4797395E-2</v>
      </c>
      <c r="I34" s="31">
        <f t="shared" si="29"/>
        <v>2.6401270999999997E-2</v>
      </c>
      <c r="J34" s="31">
        <f t="shared" si="30"/>
        <v>2.7694249999999997E-2</v>
      </c>
      <c r="K34" s="31">
        <f t="shared" si="31"/>
        <v>2.8755442999999999E-2</v>
      </c>
      <c r="L34" s="31">
        <f t="shared" si="32"/>
        <v>2.9668501999999999E-2</v>
      </c>
      <c r="N34" s="31"/>
      <c r="O34" s="76">
        <f t="shared" si="33"/>
        <v>2013</v>
      </c>
      <c r="P34" s="103">
        <f t="shared" si="34"/>
        <v>41639</v>
      </c>
      <c r="Q34" s="26">
        <v>1.2999999999999999E-2</v>
      </c>
      <c r="R34" s="26">
        <v>1.3532915E-2</v>
      </c>
      <c r="S34" s="26">
        <v>1.6069660999999999E-2</v>
      </c>
      <c r="T34" s="26">
        <v>1.9179293E-2</v>
      </c>
      <c r="U34" s="26">
        <v>2.2356602E-2</v>
      </c>
      <c r="V34" s="26">
        <v>2.4797395E-2</v>
      </c>
      <c r="W34" s="26">
        <v>2.6401270999999997E-2</v>
      </c>
      <c r="X34" s="26">
        <v>2.7694249999999997E-2</v>
      </c>
      <c r="Y34" s="26">
        <v>2.8755442999999999E-2</v>
      </c>
      <c r="Z34" s="26">
        <v>2.9668501999999999E-2</v>
      </c>
      <c r="AA34" s="26">
        <v>3.0581561E-2</v>
      </c>
      <c r="AB34" s="31"/>
      <c r="AC34" s="26">
        <v>1.3266457499999999E-2</v>
      </c>
      <c r="AE34" s="76">
        <f t="shared" si="8"/>
        <v>2013</v>
      </c>
      <c r="AF34" s="103">
        <f t="shared" si="9"/>
        <v>41639</v>
      </c>
      <c r="AG34" s="27">
        <f t="shared" ref="AG34:AG42" si="44">(1+Q34)^AG$32-1</f>
        <v>6.4790112068904282E-3</v>
      </c>
      <c r="AH34" s="27">
        <f t="shared" ref="AH34:AH42" si="45">(1+R34)^R$32/(1+Q34)^Q$32-1</f>
        <v>1.3799477623458234E-2</v>
      </c>
      <c r="AI34" s="27">
        <f t="shared" si="35"/>
        <v>1.9886689635038701E-2</v>
      </c>
      <c r="AJ34" s="27">
        <f t="shared" si="36"/>
        <v>2.6995073079362442E-2</v>
      </c>
      <c r="AK34" s="27">
        <f t="shared" si="37"/>
        <v>3.3555390746750291E-2</v>
      </c>
      <c r="AL34" s="27">
        <f t="shared" si="38"/>
        <v>3.5853276182021165E-2</v>
      </c>
      <c r="AM34" s="27">
        <f t="shared" si="39"/>
        <v>3.5267563812757308E-2</v>
      </c>
      <c r="AN34" s="27">
        <f t="shared" si="40"/>
        <v>3.613840713817229E-2</v>
      </c>
      <c r="AO34" s="27">
        <f t="shared" si="41"/>
        <v>3.6749396860081385E-2</v>
      </c>
      <c r="AP34" s="27">
        <f t="shared" si="42"/>
        <v>3.7462295055985084E-2</v>
      </c>
      <c r="AQ34" s="27">
        <f t="shared" si="43"/>
        <v>3.9296104692626566E-2</v>
      </c>
    </row>
    <row r="35" spans="1:43" x14ac:dyDescent="0.3">
      <c r="A35" s="76">
        <f t="shared" si="21"/>
        <v>2014</v>
      </c>
      <c r="B35" s="103">
        <f t="shared" si="22"/>
        <v>42004</v>
      </c>
      <c r="C35" s="31">
        <f t="shared" si="23"/>
        <v>1.15E-2</v>
      </c>
      <c r="D35" s="31">
        <f t="shared" si="24"/>
        <v>1.2311212E-2</v>
      </c>
      <c r="E35" s="31">
        <f t="shared" si="25"/>
        <v>1.4689856000000001E-2</v>
      </c>
      <c r="F35" s="31">
        <f t="shared" si="26"/>
        <v>1.7340267999999999E-2</v>
      </c>
      <c r="G35" s="31">
        <f t="shared" si="27"/>
        <v>2.0012235999999999E-2</v>
      </c>
      <c r="H35" s="31">
        <f t="shared" si="28"/>
        <v>2.2146639000000003E-2</v>
      </c>
      <c r="I35" s="31">
        <f t="shared" si="29"/>
        <v>2.3725043000000001E-2</v>
      </c>
      <c r="J35" s="31">
        <f t="shared" si="30"/>
        <v>2.5227978999999998E-2</v>
      </c>
      <c r="K35" s="31">
        <f t="shared" si="31"/>
        <v>2.6631905999999997E-2</v>
      </c>
      <c r="L35" s="31">
        <f t="shared" si="32"/>
        <v>2.7915216999999999E-2</v>
      </c>
      <c r="N35" s="31"/>
      <c r="O35" s="76">
        <f t="shared" si="33"/>
        <v>2014</v>
      </c>
      <c r="P35" s="103">
        <f t="shared" si="34"/>
        <v>42004</v>
      </c>
      <c r="Q35" s="26">
        <v>1.15E-2</v>
      </c>
      <c r="R35" s="26">
        <v>1.2311212E-2</v>
      </c>
      <c r="S35" s="26">
        <v>1.4689856000000001E-2</v>
      </c>
      <c r="T35" s="26">
        <v>1.7340267999999999E-2</v>
      </c>
      <c r="U35" s="26">
        <v>2.0012235999999999E-2</v>
      </c>
      <c r="V35" s="26">
        <v>2.2146639000000003E-2</v>
      </c>
      <c r="W35" s="26">
        <v>2.3725043000000001E-2</v>
      </c>
      <c r="X35" s="26">
        <v>2.5227978999999998E-2</v>
      </c>
      <c r="Y35" s="26">
        <v>2.6631905999999997E-2</v>
      </c>
      <c r="Z35" s="26">
        <v>2.7915216999999999E-2</v>
      </c>
      <c r="AA35" s="26">
        <v>2.9198528000000001E-2</v>
      </c>
      <c r="AB35" s="31"/>
      <c r="AC35" s="26">
        <v>1.1905605999999999E-2</v>
      </c>
      <c r="AE35" s="76">
        <f t="shared" si="8"/>
        <v>2014</v>
      </c>
      <c r="AF35" s="103">
        <f t="shared" si="9"/>
        <v>42004</v>
      </c>
      <c r="AG35" s="27">
        <f t="shared" si="44"/>
        <v>5.7335631269348486E-3</v>
      </c>
      <c r="AH35" s="27">
        <f t="shared" si="45"/>
        <v>1.2717061936100338E-2</v>
      </c>
      <c r="AI35" s="27">
        <f t="shared" si="35"/>
        <v>1.8268305736972801E-2</v>
      </c>
      <c r="AJ35" s="27">
        <f t="shared" si="36"/>
        <v>2.3996625633943891E-2</v>
      </c>
      <c r="AK35" s="27">
        <f t="shared" si="37"/>
        <v>2.9419509650832509E-2</v>
      </c>
      <c r="AL35" s="27">
        <f t="shared" si="38"/>
        <v>3.1806858015301698E-2</v>
      </c>
      <c r="AM35" s="27">
        <f t="shared" si="39"/>
        <v>3.244993421093656E-2</v>
      </c>
      <c r="AN35" s="27">
        <f t="shared" si="40"/>
        <v>3.5050990655973502E-2</v>
      </c>
      <c r="AO35" s="27">
        <f t="shared" si="41"/>
        <v>3.7222820665579137E-2</v>
      </c>
      <c r="AP35" s="27">
        <f t="shared" si="42"/>
        <v>3.8888331483384331E-2</v>
      </c>
      <c r="AQ35" s="27">
        <f t="shared" si="43"/>
        <v>4.1470173671301902E-2</v>
      </c>
    </row>
    <row r="36" spans="1:43" x14ac:dyDescent="0.3">
      <c r="A36" s="76">
        <f t="shared" si="21"/>
        <v>2015</v>
      </c>
      <c r="B36" s="103">
        <f t="shared" si="22"/>
        <v>42369</v>
      </c>
      <c r="C36" s="31">
        <f t="shared" si="23"/>
        <v>6.4999999999999997E-3</v>
      </c>
      <c r="D36" s="31">
        <f t="shared" si="24"/>
        <v>6.8456999999999997E-3</v>
      </c>
      <c r="E36" s="31">
        <f t="shared" si="25"/>
        <v>7.4451999999999999E-3</v>
      </c>
      <c r="F36" s="31">
        <f t="shared" si="26"/>
        <v>9.7765000000000005E-3</v>
      </c>
      <c r="G36" s="31">
        <f t="shared" si="27"/>
        <v>1.28559E-2</v>
      </c>
      <c r="H36" s="31">
        <f t="shared" si="28"/>
        <v>1.56131E-2</v>
      </c>
      <c r="I36" s="31">
        <f t="shared" si="29"/>
        <v>1.77655E-2</v>
      </c>
      <c r="J36" s="31">
        <f t="shared" si="30"/>
        <v>1.9696100000000001E-2</v>
      </c>
      <c r="K36" s="31">
        <f t="shared" si="31"/>
        <v>2.1375499999999999E-2</v>
      </c>
      <c r="L36" s="31">
        <f t="shared" si="32"/>
        <v>2.28171E-2</v>
      </c>
      <c r="N36" s="31"/>
      <c r="O36" s="76">
        <f t="shared" si="33"/>
        <v>2015</v>
      </c>
      <c r="P36" s="103">
        <f t="shared" si="34"/>
        <v>42369</v>
      </c>
      <c r="Q36" s="26">
        <v>6.4999999999999997E-3</v>
      </c>
      <c r="R36" s="26">
        <v>6.8456999999999997E-3</v>
      </c>
      <c r="S36" s="26">
        <v>7.4451999999999999E-3</v>
      </c>
      <c r="T36" s="26">
        <v>9.7765000000000005E-3</v>
      </c>
      <c r="U36" s="26">
        <v>1.28559E-2</v>
      </c>
      <c r="V36" s="26">
        <v>1.56131E-2</v>
      </c>
      <c r="W36" s="26">
        <v>1.77655E-2</v>
      </c>
      <c r="X36" s="26">
        <v>1.9696100000000001E-2</v>
      </c>
      <c r="Y36" s="26">
        <v>2.1375499999999999E-2</v>
      </c>
      <c r="Z36" s="26">
        <v>2.28171E-2</v>
      </c>
      <c r="AA36" s="26">
        <v>2.4258700000000001E-2</v>
      </c>
      <c r="AB36" s="31"/>
      <c r="AC36" s="26">
        <v>6.6728499999999993E-3</v>
      </c>
      <c r="AE36" s="76">
        <f t="shared" si="8"/>
        <v>2015</v>
      </c>
      <c r="AF36" s="103">
        <f t="shared" si="9"/>
        <v>42369</v>
      </c>
      <c r="AG36" s="27">
        <f t="shared" si="44"/>
        <v>3.244735844649238E-3</v>
      </c>
      <c r="AH36" s="27">
        <f t="shared" si="45"/>
        <v>7.0185945237144498E-3</v>
      </c>
      <c r="AI36" s="27">
        <f t="shared" si="35"/>
        <v>8.3451193600989626E-3</v>
      </c>
      <c r="AJ36" s="27">
        <f t="shared" si="36"/>
        <v>1.5628379541869242E-2</v>
      </c>
      <c r="AK36" s="27">
        <f t="shared" si="37"/>
        <v>2.370794144654953E-2</v>
      </c>
      <c r="AL36" s="27">
        <f t="shared" si="38"/>
        <v>2.811367802871434E-2</v>
      </c>
      <c r="AM36" s="27">
        <f t="shared" si="39"/>
        <v>2.9685498378703379E-2</v>
      </c>
      <c r="AN36" s="27">
        <f t="shared" si="40"/>
        <v>3.2334576156429762E-2</v>
      </c>
      <c r="AO36" s="27">
        <f t="shared" si="41"/>
        <v>3.4059478595484638E-2</v>
      </c>
      <c r="AP36" s="27">
        <f t="shared" si="42"/>
        <v>3.5153142261708181E-2</v>
      </c>
      <c r="AQ36" s="27">
        <f t="shared" si="43"/>
        <v>3.8055644259107346E-2</v>
      </c>
    </row>
    <row r="37" spans="1:43" x14ac:dyDescent="0.3">
      <c r="A37" s="76">
        <f t="shared" si="21"/>
        <v>2016</v>
      </c>
      <c r="B37" s="103">
        <f t="shared" si="22"/>
        <v>42735</v>
      </c>
      <c r="C37" s="31">
        <f t="shared" si="23"/>
        <v>6.8999999999999999E-3</v>
      </c>
      <c r="D37" s="31">
        <f t="shared" si="24"/>
        <v>7.1427000000000001E-3</v>
      </c>
      <c r="E37" s="31">
        <f t="shared" si="25"/>
        <v>8.1782999999999995E-3</v>
      </c>
      <c r="F37" s="31">
        <f t="shared" si="26"/>
        <v>9.4418999999999996E-3</v>
      </c>
      <c r="G37" s="31">
        <f t="shared" si="27"/>
        <v>1.0828299999999999E-2</v>
      </c>
      <c r="H37" s="31">
        <f t="shared" si="28"/>
        <v>1.1890899999999999E-2</v>
      </c>
      <c r="I37" s="31">
        <f t="shared" si="29"/>
        <v>1.26804E-2</v>
      </c>
      <c r="J37" s="31">
        <f t="shared" si="30"/>
        <v>1.3696E-2</v>
      </c>
      <c r="K37" s="31">
        <f t="shared" si="31"/>
        <v>1.48912E-2</v>
      </c>
      <c r="L37" s="31">
        <f t="shared" si="32"/>
        <v>1.6194099999999999E-2</v>
      </c>
      <c r="N37" s="31"/>
      <c r="O37" s="76">
        <f t="shared" si="33"/>
        <v>2016</v>
      </c>
      <c r="P37" s="103">
        <f t="shared" si="34"/>
        <v>42735</v>
      </c>
      <c r="Q37" s="26">
        <v>6.8999999999999999E-3</v>
      </c>
      <c r="R37" s="26">
        <v>7.1427000000000001E-3</v>
      </c>
      <c r="S37" s="26">
        <v>8.1782999999999995E-3</v>
      </c>
      <c r="T37" s="26">
        <v>9.4418999999999996E-3</v>
      </c>
      <c r="U37" s="26">
        <v>1.0828299999999999E-2</v>
      </c>
      <c r="V37" s="26">
        <v>1.1890899999999999E-2</v>
      </c>
      <c r="W37" s="26">
        <v>1.26804E-2</v>
      </c>
      <c r="X37" s="26">
        <v>1.3696E-2</v>
      </c>
      <c r="Y37" s="26">
        <v>1.48912E-2</v>
      </c>
      <c r="Z37" s="26">
        <v>1.6194099999999999E-2</v>
      </c>
      <c r="AA37" s="26">
        <v>1.7496999999999999E-2</v>
      </c>
      <c r="AB37" s="31"/>
      <c r="AC37" s="26">
        <v>7.02135E-3</v>
      </c>
      <c r="AE37" s="76">
        <f t="shared" si="8"/>
        <v>2016</v>
      </c>
      <c r="AF37" s="103">
        <f t="shared" si="9"/>
        <v>42735</v>
      </c>
      <c r="AG37" s="27">
        <f t="shared" si="44"/>
        <v>3.4440691936945544E-3</v>
      </c>
      <c r="AH37" s="27">
        <f t="shared" si="45"/>
        <v>7.2640719364847062E-3</v>
      </c>
      <c r="AI37" s="27">
        <f t="shared" si="35"/>
        <v>9.7336969572052734E-3</v>
      </c>
      <c r="AJ37" s="27">
        <f t="shared" si="36"/>
        <v>1.2607833173448046E-2</v>
      </c>
      <c r="AK37" s="27">
        <f t="shared" si="37"/>
        <v>1.5695712166329034E-2</v>
      </c>
      <c r="AL37" s="27">
        <f t="shared" si="38"/>
        <v>1.6686440127440916E-2</v>
      </c>
      <c r="AM37" s="27">
        <f t="shared" si="39"/>
        <v>1.7033673638118252E-2</v>
      </c>
      <c r="AN37" s="27">
        <f t="shared" si="40"/>
        <v>2.0322272318652024E-2</v>
      </c>
      <c r="AO37" s="27">
        <f t="shared" si="41"/>
        <v>2.3900233268055793E-2</v>
      </c>
      <c r="AP37" s="27">
        <f t="shared" si="42"/>
        <v>2.73365000682253E-2</v>
      </c>
      <c r="AQ37" s="27">
        <f t="shared" si="43"/>
        <v>2.9958169391953504E-2</v>
      </c>
    </row>
    <row r="38" spans="1:43" x14ac:dyDescent="0.3">
      <c r="A38" s="76">
        <f t="shared" si="21"/>
        <v>2017</v>
      </c>
      <c r="B38" s="103">
        <f t="shared" si="22"/>
        <v>43100</v>
      </c>
      <c r="C38" s="31">
        <f t="shared" si="23"/>
        <v>1.07674E-2</v>
      </c>
      <c r="D38" s="31">
        <f t="shared" si="24"/>
        <v>1.24972E-2</v>
      </c>
      <c r="E38" s="31">
        <f t="shared" si="25"/>
        <v>1.4695900000000001E-2</v>
      </c>
      <c r="F38" s="31">
        <f t="shared" si="26"/>
        <v>1.6769300000000001E-2</v>
      </c>
      <c r="G38" s="31">
        <f t="shared" si="27"/>
        <v>1.86576E-2</v>
      </c>
      <c r="H38" s="31">
        <f t="shared" si="28"/>
        <v>1.99749E-2</v>
      </c>
      <c r="I38" s="31">
        <f t="shared" si="29"/>
        <v>2.0794199999999999E-2</v>
      </c>
      <c r="J38" s="31">
        <f t="shared" si="30"/>
        <v>2.1620399999999998E-2</v>
      </c>
      <c r="K38" s="31">
        <f t="shared" si="31"/>
        <v>2.2423100000000001E-2</v>
      </c>
      <c r="L38" s="31">
        <f t="shared" si="32"/>
        <v>2.3167399999999998E-2</v>
      </c>
      <c r="N38" s="31"/>
      <c r="O38" s="76">
        <f t="shared" si="33"/>
        <v>2017</v>
      </c>
      <c r="P38" s="103">
        <f t="shared" si="34"/>
        <v>43100</v>
      </c>
      <c r="Q38" s="26">
        <v>1.07674E-2</v>
      </c>
      <c r="R38" s="26">
        <v>1.24972E-2</v>
      </c>
      <c r="S38" s="26">
        <v>1.4695900000000001E-2</v>
      </c>
      <c r="T38" s="26">
        <v>1.6769300000000001E-2</v>
      </c>
      <c r="U38" s="26">
        <v>1.86576E-2</v>
      </c>
      <c r="V38" s="26">
        <v>1.99749E-2</v>
      </c>
      <c r="W38" s="26">
        <v>2.0794199999999999E-2</v>
      </c>
      <c r="X38" s="26">
        <v>2.1620399999999998E-2</v>
      </c>
      <c r="Y38" s="26">
        <v>2.2423100000000001E-2</v>
      </c>
      <c r="Z38" s="26">
        <v>2.3167399999999998E-2</v>
      </c>
      <c r="AA38" s="26">
        <v>2.3911700000000001E-2</v>
      </c>
      <c r="AB38" s="31"/>
      <c r="AC38" s="26">
        <v>1.16323E-2</v>
      </c>
      <c r="AE38" s="76">
        <f t="shared" si="8"/>
        <v>2017</v>
      </c>
      <c r="AF38" s="103">
        <f t="shared" si="9"/>
        <v>43100</v>
      </c>
      <c r="AG38" s="27">
        <f t="shared" si="44"/>
        <v>5.3692853872153723E-3</v>
      </c>
      <c r="AH38" s="27">
        <f t="shared" si="45"/>
        <v>1.3363209808420207E-2</v>
      </c>
      <c r="AI38" s="27">
        <f t="shared" si="35"/>
        <v>1.8002905637492184E-2</v>
      </c>
      <c r="AJ38" s="27">
        <f t="shared" si="36"/>
        <v>2.197135461465205E-2</v>
      </c>
      <c r="AK38" s="27">
        <f t="shared" si="37"/>
        <v>2.5294309364609413E-2</v>
      </c>
      <c r="AL38" s="27">
        <f t="shared" si="38"/>
        <v>2.5923862595029323E-2</v>
      </c>
      <c r="AM38" s="27">
        <f t="shared" si="39"/>
        <v>2.5312127844116405E-2</v>
      </c>
      <c r="AN38" s="27">
        <f t="shared" si="40"/>
        <v>2.7007023803038654E-2</v>
      </c>
      <c r="AO38" s="27">
        <f t="shared" si="41"/>
        <v>2.8463487551557032E-2</v>
      </c>
      <c r="AP38" s="27">
        <f t="shared" si="42"/>
        <v>2.9515866365085852E-2</v>
      </c>
      <c r="AQ38" s="27">
        <f t="shared" si="43"/>
        <v>3.1009609992692644E-2</v>
      </c>
    </row>
    <row r="39" spans="1:43" x14ac:dyDescent="0.3">
      <c r="A39" s="76">
        <f t="shared" si="21"/>
        <v>2018</v>
      </c>
      <c r="B39" s="103">
        <f t="shared" si="22"/>
        <v>43465</v>
      </c>
      <c r="C39" s="31">
        <f t="shared" si="23"/>
        <v>1.8637500000000001E-2</v>
      </c>
      <c r="D39" s="31">
        <f t="shared" si="24"/>
        <v>2.0538300000000002E-2</v>
      </c>
      <c r="E39" s="31">
        <f t="shared" si="25"/>
        <v>2.2641999999999999E-2</v>
      </c>
      <c r="F39" s="31">
        <f t="shared" si="26"/>
        <v>2.4206399999999999E-2</v>
      </c>
      <c r="G39" s="31">
        <f t="shared" si="27"/>
        <v>2.5574700000000002E-2</v>
      </c>
      <c r="H39" s="31">
        <f t="shared" si="28"/>
        <v>2.6365800000000002E-2</v>
      </c>
      <c r="I39" s="31">
        <f t="shared" si="29"/>
        <v>2.6617799999999997E-2</v>
      </c>
      <c r="J39" s="31">
        <f t="shared" si="30"/>
        <v>2.6838599999999997E-2</v>
      </c>
      <c r="K39" s="31">
        <f t="shared" si="31"/>
        <v>2.7027500000000003E-2</v>
      </c>
      <c r="L39" s="31">
        <f t="shared" si="32"/>
        <v>2.7183100000000002E-2</v>
      </c>
      <c r="N39" s="31"/>
      <c r="O39" s="76">
        <f t="shared" si="33"/>
        <v>2018</v>
      </c>
      <c r="P39" s="103">
        <f t="shared" si="34"/>
        <v>43465</v>
      </c>
      <c r="Q39" s="26">
        <v>1.8637500000000001E-2</v>
      </c>
      <c r="R39" s="26">
        <v>2.0538300000000002E-2</v>
      </c>
      <c r="S39" s="26">
        <v>2.2641999999999999E-2</v>
      </c>
      <c r="T39" s="26">
        <v>2.4206399999999999E-2</v>
      </c>
      <c r="U39" s="26">
        <v>2.5574700000000002E-2</v>
      </c>
      <c r="V39" s="26">
        <v>2.6365800000000002E-2</v>
      </c>
      <c r="W39" s="26">
        <v>2.6617799999999997E-2</v>
      </c>
      <c r="X39" s="26">
        <v>2.6838599999999997E-2</v>
      </c>
      <c r="Y39" s="26">
        <v>2.7027500000000003E-2</v>
      </c>
      <c r="Z39" s="26">
        <v>2.7183100000000002E-2</v>
      </c>
      <c r="AA39" s="26">
        <v>2.7338700000000001E-2</v>
      </c>
      <c r="AB39" s="31"/>
      <c r="AC39" s="26">
        <v>1.9587900000000002E-2</v>
      </c>
      <c r="AE39" s="76">
        <f t="shared" si="8"/>
        <v>2018</v>
      </c>
      <c r="AF39" s="103">
        <f t="shared" si="9"/>
        <v>43465</v>
      </c>
      <c r="AG39" s="27">
        <f t="shared" si="44"/>
        <v>9.275730412655836E-3</v>
      </c>
      <c r="AH39" s="27">
        <f t="shared" si="45"/>
        <v>2.1490029687114998E-2</v>
      </c>
      <c r="AI39" s="27">
        <f t="shared" si="35"/>
        <v>2.5805683710680372E-2</v>
      </c>
      <c r="AJ39" s="27">
        <f t="shared" si="36"/>
        <v>2.8127878091025904E-2</v>
      </c>
      <c r="AK39" s="27">
        <f t="shared" si="37"/>
        <v>3.0378161500614898E-2</v>
      </c>
      <c r="AL39" s="27">
        <f t="shared" si="38"/>
        <v>2.9933308428812033E-2</v>
      </c>
      <c r="AM39" s="27">
        <f t="shared" si="39"/>
        <v>2.8004906381513761E-2</v>
      </c>
      <c r="AN39" s="27">
        <f t="shared" si="40"/>
        <v>2.8274957991108574E-2</v>
      </c>
      <c r="AO39" s="27">
        <f t="shared" si="41"/>
        <v>2.8445358115516406E-2</v>
      </c>
      <c r="AP39" s="27">
        <f t="shared" si="42"/>
        <v>2.8506652169250524E-2</v>
      </c>
      <c r="AQ39" s="27">
        <f t="shared" si="43"/>
        <v>2.8818076090225908E-2</v>
      </c>
    </row>
    <row r="40" spans="1:43" x14ac:dyDescent="0.3">
      <c r="A40" s="76">
        <f t="shared" si="21"/>
        <v>2019</v>
      </c>
      <c r="B40" s="103">
        <f t="shared" si="22"/>
        <v>43830</v>
      </c>
      <c r="C40" s="31">
        <f t="shared" si="23"/>
        <v>1.9220833333333336E-2</v>
      </c>
      <c r="D40" s="31">
        <f t="shared" si="24"/>
        <v>2.1038300000000003E-2</v>
      </c>
      <c r="E40" s="31">
        <f t="shared" si="25"/>
        <v>2.3141999999999999E-2</v>
      </c>
      <c r="F40" s="31">
        <f t="shared" si="26"/>
        <v>2.47064E-2</v>
      </c>
      <c r="G40" s="31">
        <f t="shared" si="27"/>
        <v>2.6074700000000003E-2</v>
      </c>
      <c r="H40" s="31">
        <f t="shared" si="28"/>
        <v>2.6865800000000002E-2</v>
      </c>
      <c r="I40" s="31">
        <f t="shared" si="29"/>
        <v>2.7117799999999997E-2</v>
      </c>
      <c r="J40" s="31">
        <f t="shared" si="30"/>
        <v>2.7338599999999998E-2</v>
      </c>
      <c r="K40" s="31">
        <f t="shared" si="31"/>
        <v>2.7527500000000003E-2</v>
      </c>
      <c r="L40" s="31">
        <f t="shared" si="32"/>
        <v>2.7683100000000002E-2</v>
      </c>
      <c r="N40" s="31"/>
      <c r="O40" s="76">
        <f t="shared" si="33"/>
        <v>2019</v>
      </c>
      <c r="P40" s="103">
        <f t="shared" si="34"/>
        <v>43830</v>
      </c>
      <c r="Q40" s="26">
        <v>1.9220833333333336E-2</v>
      </c>
      <c r="R40" s="26">
        <v>2.1038300000000003E-2</v>
      </c>
      <c r="S40" s="26">
        <v>2.3141999999999999E-2</v>
      </c>
      <c r="T40" s="26">
        <v>2.47064E-2</v>
      </c>
      <c r="U40" s="26">
        <v>2.6074700000000003E-2</v>
      </c>
      <c r="V40" s="26">
        <v>2.6865800000000002E-2</v>
      </c>
      <c r="W40" s="26">
        <v>2.7117799999999997E-2</v>
      </c>
      <c r="X40" s="26">
        <v>2.7338599999999998E-2</v>
      </c>
      <c r="Y40" s="26">
        <v>2.7527500000000003E-2</v>
      </c>
      <c r="Z40" s="26">
        <v>2.7683100000000002E-2</v>
      </c>
      <c r="AA40" s="26">
        <v>2.7838700000000001E-2</v>
      </c>
      <c r="AB40" s="31"/>
      <c r="AC40" s="26">
        <v>2.0129566666666668E-2</v>
      </c>
      <c r="AE40" s="76">
        <f t="shared" si="8"/>
        <v>2019</v>
      </c>
      <c r="AF40" s="103">
        <f t="shared" si="9"/>
        <v>43830</v>
      </c>
      <c r="AG40" s="27">
        <f t="shared" si="44"/>
        <v>9.5646751611970782E-3</v>
      </c>
      <c r="AH40" s="27">
        <f t="shared" si="45"/>
        <v>2.1948248307040563E-2</v>
      </c>
      <c r="AI40" s="27">
        <f t="shared" si="35"/>
        <v>2.6305679726254416E-2</v>
      </c>
      <c r="AJ40" s="27">
        <f t="shared" si="36"/>
        <v>2.8627872966566992E-2</v>
      </c>
      <c r="AK40" s="27">
        <f t="shared" si="37"/>
        <v>3.087815446077613E-2</v>
      </c>
      <c r="AL40" s="27">
        <f t="shared" si="38"/>
        <v>3.0433304742321976E-2</v>
      </c>
      <c r="AM40" s="27">
        <f t="shared" si="39"/>
        <v>2.8504905842599459E-2</v>
      </c>
      <c r="AN40" s="27">
        <f t="shared" si="40"/>
        <v>2.877495742717584E-2</v>
      </c>
      <c r="AO40" s="27">
        <f t="shared" si="41"/>
        <v>2.8945357575987707E-2</v>
      </c>
      <c r="AP40" s="27">
        <f t="shared" si="42"/>
        <v>2.900665170574479E-2</v>
      </c>
      <c r="AQ40" s="27">
        <f t="shared" si="43"/>
        <v>2.9318075517775544E-2</v>
      </c>
    </row>
    <row r="41" spans="1:43" x14ac:dyDescent="0.3">
      <c r="A41" s="76">
        <f t="shared" si="21"/>
        <v>2020</v>
      </c>
      <c r="B41" s="103">
        <f t="shared" si="22"/>
        <v>44196</v>
      </c>
      <c r="C41" s="31">
        <f t="shared" si="23"/>
        <v>1.9804166666666668E-2</v>
      </c>
      <c r="D41" s="31">
        <f t="shared" si="24"/>
        <v>2.1538300000000003E-2</v>
      </c>
      <c r="E41" s="31">
        <f t="shared" si="25"/>
        <v>2.3642E-2</v>
      </c>
      <c r="F41" s="31">
        <f t="shared" si="26"/>
        <v>2.52064E-2</v>
      </c>
      <c r="G41" s="31">
        <f t="shared" si="27"/>
        <v>2.6574700000000003E-2</v>
      </c>
      <c r="H41" s="31">
        <f t="shared" si="28"/>
        <v>2.7365800000000003E-2</v>
      </c>
      <c r="I41" s="31">
        <f t="shared" si="29"/>
        <v>2.7617799999999998E-2</v>
      </c>
      <c r="J41" s="31">
        <f t="shared" si="30"/>
        <v>2.7838599999999998E-2</v>
      </c>
      <c r="K41" s="31">
        <f t="shared" si="31"/>
        <v>2.8027500000000004E-2</v>
      </c>
      <c r="L41" s="31">
        <f t="shared" si="32"/>
        <v>2.8183100000000003E-2</v>
      </c>
      <c r="N41" s="31"/>
      <c r="O41" s="76">
        <f t="shared" si="33"/>
        <v>2020</v>
      </c>
      <c r="P41" s="103">
        <f t="shared" si="34"/>
        <v>44196</v>
      </c>
      <c r="Q41" s="26">
        <v>1.9804166666666668E-2</v>
      </c>
      <c r="R41" s="26">
        <v>2.1538300000000003E-2</v>
      </c>
      <c r="S41" s="26">
        <v>2.3642E-2</v>
      </c>
      <c r="T41" s="26">
        <v>2.52064E-2</v>
      </c>
      <c r="U41" s="26">
        <v>2.6574700000000003E-2</v>
      </c>
      <c r="V41" s="26">
        <v>2.7365800000000003E-2</v>
      </c>
      <c r="W41" s="26">
        <v>2.7617799999999998E-2</v>
      </c>
      <c r="X41" s="26">
        <v>2.7838599999999998E-2</v>
      </c>
      <c r="Y41" s="26">
        <v>2.8027500000000004E-2</v>
      </c>
      <c r="Z41" s="26">
        <v>2.8183100000000003E-2</v>
      </c>
      <c r="AA41" s="26">
        <v>2.8338700000000001E-2</v>
      </c>
      <c r="AB41" s="31"/>
      <c r="AC41" s="26">
        <v>2.0671233333333337E-2</v>
      </c>
      <c r="AE41" s="76">
        <f t="shared" si="8"/>
        <v>2020</v>
      </c>
      <c r="AF41" s="103">
        <f t="shared" si="9"/>
        <v>44196</v>
      </c>
      <c r="AG41" s="27">
        <f t="shared" si="44"/>
        <v>9.8535372353094619E-3</v>
      </c>
      <c r="AH41" s="27">
        <f t="shared" si="45"/>
        <v>2.2406472160784396E-2</v>
      </c>
      <c r="AI41" s="27">
        <f t="shared" si="35"/>
        <v>2.6805675745731117E-2</v>
      </c>
      <c r="AJ41" s="27">
        <f t="shared" si="36"/>
        <v>2.9127867847118516E-2</v>
      </c>
      <c r="AK41" s="27">
        <f t="shared" si="37"/>
        <v>3.1378147427812086E-2</v>
      </c>
      <c r="AL41" s="27">
        <f t="shared" si="38"/>
        <v>3.0933301059426821E-2</v>
      </c>
      <c r="AM41" s="27">
        <f t="shared" si="39"/>
        <v>2.9004905304206519E-2</v>
      </c>
      <c r="AN41" s="27">
        <f t="shared" si="40"/>
        <v>2.9274956863793777E-2</v>
      </c>
      <c r="AO41" s="27">
        <f t="shared" si="41"/>
        <v>2.9445357036986142E-2</v>
      </c>
      <c r="AP41" s="27">
        <f t="shared" si="42"/>
        <v>2.9506651242688031E-2</v>
      </c>
      <c r="AQ41" s="27">
        <f t="shared" si="43"/>
        <v>2.9818074945882289E-2</v>
      </c>
    </row>
    <row r="42" spans="1:43" x14ac:dyDescent="0.3">
      <c r="A42" s="76">
        <f t="shared" si="21"/>
        <v>2021</v>
      </c>
      <c r="B42" s="103">
        <f>DATE(YEAR(B43)-1,12,31)</f>
        <v>44561</v>
      </c>
      <c r="C42" s="31">
        <f t="shared" si="23"/>
        <v>2.0387499999999999E-2</v>
      </c>
      <c r="D42" s="31">
        <f t="shared" si="24"/>
        <v>2.2038300000000004E-2</v>
      </c>
      <c r="E42" s="31">
        <f t="shared" si="25"/>
        <v>2.4142E-2</v>
      </c>
      <c r="F42" s="31">
        <f t="shared" si="26"/>
        <v>2.5706400000000001E-2</v>
      </c>
      <c r="G42" s="31">
        <f t="shared" si="27"/>
        <v>2.7074700000000004E-2</v>
      </c>
      <c r="H42" s="31">
        <f t="shared" si="28"/>
        <v>2.7865800000000003E-2</v>
      </c>
      <c r="I42" s="31">
        <f t="shared" si="29"/>
        <v>2.8117799999999998E-2</v>
      </c>
      <c r="J42" s="31">
        <f t="shared" si="30"/>
        <v>2.8338599999999999E-2</v>
      </c>
      <c r="K42" s="31">
        <f t="shared" si="31"/>
        <v>2.8527500000000004E-2</v>
      </c>
      <c r="L42" s="31">
        <f t="shared" si="32"/>
        <v>2.8683100000000003E-2</v>
      </c>
      <c r="N42" s="31"/>
      <c r="O42" s="76">
        <f t="shared" si="33"/>
        <v>2021</v>
      </c>
      <c r="P42" s="103">
        <f t="shared" si="34"/>
        <v>44561</v>
      </c>
      <c r="Q42" s="26">
        <v>2.0387499999999999E-2</v>
      </c>
      <c r="R42" s="26">
        <v>2.2038300000000004E-2</v>
      </c>
      <c r="S42" s="26">
        <v>2.4142E-2</v>
      </c>
      <c r="T42" s="26">
        <v>2.5706400000000001E-2</v>
      </c>
      <c r="U42" s="26">
        <v>2.7074700000000004E-2</v>
      </c>
      <c r="V42" s="26">
        <v>2.7865800000000003E-2</v>
      </c>
      <c r="W42" s="26">
        <v>2.8117799999999998E-2</v>
      </c>
      <c r="X42" s="26">
        <v>2.8338599999999999E-2</v>
      </c>
      <c r="Y42" s="26">
        <v>2.8527500000000004E-2</v>
      </c>
      <c r="Z42" s="26">
        <v>2.8683100000000003E-2</v>
      </c>
      <c r="AA42" s="26">
        <v>2.8838699999999998E-2</v>
      </c>
      <c r="AB42" s="31"/>
      <c r="AC42" s="26">
        <v>2.12129E-2</v>
      </c>
      <c r="AE42" s="76">
        <f t="shared" si="8"/>
        <v>2021</v>
      </c>
      <c r="AF42" s="103">
        <f t="shared" si="9"/>
        <v>44561</v>
      </c>
      <c r="AG42" s="27">
        <f t="shared" si="44"/>
        <v>1.0142316705918475E-2</v>
      </c>
      <c r="AH42" s="27">
        <f t="shared" si="45"/>
        <v>2.2864701239586172E-2</v>
      </c>
      <c r="AI42" s="27">
        <f t="shared" si="35"/>
        <v>2.7305671769104478E-2</v>
      </c>
      <c r="AJ42" s="27">
        <f t="shared" si="36"/>
        <v>2.9627862732671151E-2</v>
      </c>
      <c r="AK42" s="27">
        <f t="shared" si="37"/>
        <v>3.1878140401712329E-2</v>
      </c>
      <c r="AL42" s="27">
        <f t="shared" si="38"/>
        <v>3.1433297380119907E-2</v>
      </c>
      <c r="AM42" s="27">
        <f t="shared" si="39"/>
        <v>2.9504904766339379E-2</v>
      </c>
      <c r="AN42" s="27">
        <f t="shared" si="40"/>
        <v>2.9774956300961275E-2</v>
      </c>
      <c r="AO42" s="27">
        <f t="shared" si="41"/>
        <v>2.9945356498505271E-2</v>
      </c>
      <c r="AP42" s="27">
        <f t="shared" si="42"/>
        <v>3.0006650780086019E-2</v>
      </c>
      <c r="AQ42" s="27">
        <f t="shared" si="43"/>
        <v>3.0318074374545478E-2</v>
      </c>
    </row>
    <row r="43" spans="1:43" x14ac:dyDescent="0.3">
      <c r="A43" s="76">
        <f>$A$23</f>
        <v>2022</v>
      </c>
      <c r="B43" s="103">
        <f>DATE(2022,8,31)</f>
        <v>44804</v>
      </c>
      <c r="C43" s="26">
        <v>2.1000000000000001E-2</v>
      </c>
      <c r="D43" s="26">
        <v>2.2538300000000004E-2</v>
      </c>
      <c r="E43" s="26">
        <v>2.4642000000000001E-2</v>
      </c>
      <c r="F43" s="26">
        <v>2.6206400000000001E-2</v>
      </c>
      <c r="G43" s="26">
        <v>2.7574700000000004E-2</v>
      </c>
      <c r="H43" s="26">
        <v>2.8365800000000004E-2</v>
      </c>
      <c r="I43" s="26">
        <v>2.8617799999999999E-2</v>
      </c>
      <c r="J43" s="26">
        <v>2.8838599999999999E-2</v>
      </c>
      <c r="K43" s="26">
        <v>2.9027500000000005E-2</v>
      </c>
      <c r="L43" s="26">
        <v>2.9183100000000003E-2</v>
      </c>
      <c r="O43" s="76">
        <f>$A$23</f>
        <v>2022</v>
      </c>
      <c r="P43" s="103">
        <f>B43</f>
        <v>44804</v>
      </c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E43" s="76">
        <f t="shared" si="8"/>
        <v>2022</v>
      </c>
      <c r="AF43" s="103">
        <f t="shared" si="9"/>
        <v>44804</v>
      </c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</row>
    <row r="44" spans="1:43" x14ac:dyDescent="0.3">
      <c r="A44" s="74"/>
      <c r="B44" s="32"/>
      <c r="C44" s="75"/>
      <c r="D44" s="75"/>
      <c r="E44" s="75"/>
      <c r="F44" s="75"/>
      <c r="G44" s="75"/>
      <c r="H44" s="75"/>
      <c r="I44" s="75"/>
      <c r="J44" s="75"/>
      <c r="K44" s="75"/>
      <c r="L44" s="75"/>
      <c r="O44" s="74"/>
      <c r="P44" s="32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</row>
    <row r="45" spans="1:43" x14ac:dyDescent="0.3">
      <c r="C45" s="31"/>
      <c r="D45" s="31"/>
      <c r="E45" s="31"/>
      <c r="F45" s="31"/>
      <c r="G45" s="31"/>
      <c r="H45" s="31"/>
      <c r="I45" s="31"/>
      <c r="J45" s="31"/>
      <c r="K45" s="31"/>
      <c r="L45" s="31"/>
      <c r="O45" s="125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</row>
    <row r="46" spans="1:43" x14ac:dyDescent="0.3">
      <c r="C46" s="31"/>
      <c r="D46" s="31"/>
      <c r="E46" s="31"/>
      <c r="F46" s="31"/>
      <c r="G46" s="31"/>
      <c r="H46" s="31"/>
      <c r="I46" s="31"/>
      <c r="J46" s="31"/>
      <c r="K46" s="31"/>
      <c r="L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</row>
    <row r="47" spans="1:43" x14ac:dyDescent="0.3">
      <c r="A47" s="34" t="s">
        <v>226</v>
      </c>
      <c r="O47" s="34" t="s">
        <v>31</v>
      </c>
    </row>
    <row r="48" spans="1:43" x14ac:dyDescent="0.3">
      <c r="A48" s="34" t="s">
        <v>32</v>
      </c>
      <c r="C48" s="134">
        <v>0.5</v>
      </c>
      <c r="D48" s="134">
        <f t="shared" ref="D48:L48" si="46">+C48+1</f>
        <v>1.5</v>
      </c>
      <c r="E48" s="134">
        <f t="shared" si="46"/>
        <v>2.5</v>
      </c>
      <c r="F48" s="134">
        <f t="shared" si="46"/>
        <v>3.5</v>
      </c>
      <c r="G48" s="134">
        <f t="shared" si="46"/>
        <v>4.5</v>
      </c>
      <c r="H48" s="134">
        <f t="shared" si="46"/>
        <v>5.5</v>
      </c>
      <c r="I48" s="134">
        <f t="shared" si="46"/>
        <v>6.5</v>
      </c>
      <c r="J48" s="134">
        <f t="shared" si="46"/>
        <v>7.5</v>
      </c>
      <c r="K48" s="134">
        <f t="shared" si="46"/>
        <v>8.5</v>
      </c>
      <c r="L48" s="134">
        <f t="shared" si="46"/>
        <v>9.5</v>
      </c>
      <c r="O48" s="34" t="s">
        <v>32</v>
      </c>
      <c r="Q48" s="134">
        <v>0.5</v>
      </c>
      <c r="R48" s="134">
        <f t="shared" ref="R48" si="47">+Q48+1</f>
        <v>1.5</v>
      </c>
      <c r="S48" s="134">
        <f t="shared" ref="S48" si="48">+R48+1</f>
        <v>2.5</v>
      </c>
      <c r="T48" s="134">
        <f t="shared" ref="T48" si="49">+S48+1</f>
        <v>3.5</v>
      </c>
      <c r="U48" s="134">
        <f t="shared" ref="U48" si="50">+T48+1</f>
        <v>4.5</v>
      </c>
      <c r="V48" s="134">
        <f t="shared" ref="V48" si="51">+U48+1</f>
        <v>5.5</v>
      </c>
      <c r="W48" s="134">
        <f t="shared" ref="W48" si="52">+V48+1</f>
        <v>6.5</v>
      </c>
      <c r="X48" s="134">
        <f t="shared" ref="X48" si="53">+W48+1</f>
        <v>7.5</v>
      </c>
      <c r="Y48" s="134">
        <f t="shared" ref="Y48" si="54">+X48+1</f>
        <v>8.5</v>
      </c>
      <c r="Z48" s="134">
        <f t="shared" ref="Z48" si="55">+Y48+1</f>
        <v>9.5</v>
      </c>
      <c r="AA48" s="134"/>
    </row>
    <row r="51" spans="1:26" x14ac:dyDescent="0.3">
      <c r="B51" s="82" t="s">
        <v>119</v>
      </c>
      <c r="C51" s="83" t="s">
        <v>216</v>
      </c>
      <c r="D51" s="83" t="s">
        <v>217</v>
      </c>
      <c r="E51" s="83" t="s">
        <v>218</v>
      </c>
      <c r="F51" s="83" t="s">
        <v>219</v>
      </c>
      <c r="G51" s="83" t="s">
        <v>220</v>
      </c>
      <c r="H51" s="83" t="s">
        <v>221</v>
      </c>
      <c r="I51" s="83" t="s">
        <v>222</v>
      </c>
      <c r="J51" s="83" t="s">
        <v>223</v>
      </c>
      <c r="K51" s="83" t="s">
        <v>224</v>
      </c>
      <c r="L51" s="83" t="s">
        <v>225</v>
      </c>
    </row>
    <row r="52" spans="1:26" x14ac:dyDescent="0.3">
      <c r="A52" s="76" t="s">
        <v>291</v>
      </c>
      <c r="B52" s="84" t="s">
        <v>137</v>
      </c>
      <c r="C52" s="77" t="s">
        <v>142</v>
      </c>
      <c r="D52" s="77"/>
      <c r="E52" s="77"/>
      <c r="F52" s="77"/>
      <c r="G52" s="77"/>
      <c r="H52" s="77"/>
      <c r="I52" s="77"/>
      <c r="J52" s="77"/>
      <c r="K52" s="77"/>
      <c r="L52" s="77"/>
      <c r="O52" s="76" t="s">
        <v>291</v>
      </c>
      <c r="P52" s="84" t="s">
        <v>137</v>
      </c>
      <c r="Q52" s="77" t="s">
        <v>142</v>
      </c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3">
      <c r="A53" s="71" t="s">
        <v>10</v>
      </c>
      <c r="B53" s="71" t="s">
        <v>36</v>
      </c>
      <c r="C53" s="133">
        <v>0.5</v>
      </c>
      <c r="D53" s="133">
        <f>+C53+1</f>
        <v>1.5</v>
      </c>
      <c r="E53" s="133">
        <f t="shared" ref="E53:L53" si="56">+D53+1</f>
        <v>2.5</v>
      </c>
      <c r="F53" s="133">
        <f t="shared" si="56"/>
        <v>3.5</v>
      </c>
      <c r="G53" s="133">
        <f t="shared" si="56"/>
        <v>4.5</v>
      </c>
      <c r="H53" s="133">
        <f t="shared" si="56"/>
        <v>5.5</v>
      </c>
      <c r="I53" s="133">
        <f t="shared" si="56"/>
        <v>6.5</v>
      </c>
      <c r="J53" s="133">
        <f t="shared" si="56"/>
        <v>7.5</v>
      </c>
      <c r="K53" s="133">
        <f t="shared" si="56"/>
        <v>8.5</v>
      </c>
      <c r="L53" s="133">
        <f t="shared" si="56"/>
        <v>9.5</v>
      </c>
      <c r="O53" s="71" t="s">
        <v>10</v>
      </c>
      <c r="P53" s="71" t="s">
        <v>36</v>
      </c>
      <c r="Q53" s="133">
        <v>0.5</v>
      </c>
      <c r="R53" s="133">
        <f>+Q53+1</f>
        <v>1.5</v>
      </c>
      <c r="S53" s="133">
        <f t="shared" ref="S53:Z53" si="57">+R53+1</f>
        <v>2.5</v>
      </c>
      <c r="T53" s="133">
        <f t="shared" si="57"/>
        <v>3.5</v>
      </c>
      <c r="U53" s="133">
        <f t="shared" si="57"/>
        <v>4.5</v>
      </c>
      <c r="V53" s="133">
        <f t="shared" si="57"/>
        <v>5.5</v>
      </c>
      <c r="W53" s="133">
        <f t="shared" si="57"/>
        <v>6.5</v>
      </c>
      <c r="X53" s="133">
        <f t="shared" si="57"/>
        <v>7.5</v>
      </c>
      <c r="Y53" s="133">
        <f t="shared" si="57"/>
        <v>8.5</v>
      </c>
      <c r="Z53" s="133">
        <f t="shared" si="57"/>
        <v>9.5</v>
      </c>
    </row>
    <row r="54" spans="1:26" x14ac:dyDescent="0.3">
      <c r="A54" s="76">
        <f t="shared" ref="A54:A63" si="58">A55-1</f>
        <v>2012</v>
      </c>
      <c r="B54" s="103">
        <f t="shared" ref="B54:B64" si="59">B33</f>
        <v>41274</v>
      </c>
      <c r="C54" s="135">
        <f t="shared" ref="C54:L54" si="60">(1+C33)^-C$48</f>
        <v>0.99444660521966255</v>
      </c>
      <c r="D54" s="135">
        <f t="shared" si="60"/>
        <v>0.9821670921416451</v>
      </c>
      <c r="E54" s="135">
        <f t="shared" si="60"/>
        <v>0.96630747119090721</v>
      </c>
      <c r="F54" s="135">
        <f t="shared" si="60"/>
        <v>0.94715425828235089</v>
      </c>
      <c r="G54" s="135">
        <f t="shared" si="60"/>
        <v>0.92476654814656756</v>
      </c>
      <c r="H54" s="135">
        <f t="shared" si="60"/>
        <v>0.9017877023356794</v>
      </c>
      <c r="I54" s="135">
        <f t="shared" si="60"/>
        <v>0.87959777039567943</v>
      </c>
      <c r="J54" s="135">
        <f t="shared" si="60"/>
        <v>0.85631578733780234</v>
      </c>
      <c r="K54" s="135">
        <f t="shared" si="60"/>
        <v>0.83210778078455183</v>
      </c>
      <c r="L54" s="135">
        <f t="shared" si="60"/>
        <v>0.80713957703360584</v>
      </c>
      <c r="O54" s="76">
        <f t="shared" ref="O54:O63" si="61">O55-1</f>
        <v>2012</v>
      </c>
      <c r="P54" s="103">
        <f t="shared" ref="P54:P64" si="62">B54</f>
        <v>41274</v>
      </c>
      <c r="Q54" s="135">
        <f t="shared" ref="Q54:Z54" si="63">(1+Q33)^-Q$48</f>
        <v>0.99444660521966255</v>
      </c>
      <c r="R54" s="135">
        <f t="shared" si="63"/>
        <v>0.9821670921416451</v>
      </c>
      <c r="S54" s="135">
        <f t="shared" si="63"/>
        <v>0.96630747119090721</v>
      </c>
      <c r="T54" s="135">
        <f t="shared" si="63"/>
        <v>0.94715425828235089</v>
      </c>
      <c r="U54" s="135">
        <f t="shared" si="63"/>
        <v>0.92476654814656756</v>
      </c>
      <c r="V54" s="135">
        <f t="shared" si="63"/>
        <v>0.9017877023356794</v>
      </c>
      <c r="W54" s="135">
        <f t="shared" si="63"/>
        <v>0.87959777039567943</v>
      </c>
      <c r="X54" s="135">
        <f t="shared" si="63"/>
        <v>0.85631578733780234</v>
      </c>
      <c r="Y54" s="135">
        <f t="shared" si="63"/>
        <v>0.83210778078455183</v>
      </c>
      <c r="Z54" s="135">
        <f t="shared" si="63"/>
        <v>0.80713957703360584</v>
      </c>
    </row>
    <row r="55" spans="1:26" x14ac:dyDescent="0.3">
      <c r="A55" s="76">
        <f t="shared" si="58"/>
        <v>2013</v>
      </c>
      <c r="B55" s="103">
        <f t="shared" si="59"/>
        <v>41639</v>
      </c>
      <c r="C55" s="135">
        <f t="shared" ref="C55:L55" si="64">(1+C34)^-C$48</f>
        <v>0.99356269615685144</v>
      </c>
      <c r="D55" s="135">
        <f t="shared" si="64"/>
        <v>0.98003867439935399</v>
      </c>
      <c r="E55" s="135">
        <f t="shared" si="64"/>
        <v>0.96092897805152822</v>
      </c>
      <c r="F55" s="135">
        <f t="shared" si="64"/>
        <v>0.93567048493257099</v>
      </c>
      <c r="G55" s="135">
        <f t="shared" si="64"/>
        <v>0.90529302377934784</v>
      </c>
      <c r="H55" s="135">
        <f t="shared" si="64"/>
        <v>0.87395873971273597</v>
      </c>
      <c r="I55" s="135">
        <f t="shared" si="64"/>
        <v>0.84418634395736147</v>
      </c>
      <c r="J55" s="135">
        <f t="shared" si="64"/>
        <v>0.81474283564974204</v>
      </c>
      <c r="K55" s="135">
        <f t="shared" si="64"/>
        <v>0.78586284990113076</v>
      </c>
      <c r="L55" s="135">
        <f t="shared" si="64"/>
        <v>0.75748569721150483</v>
      </c>
      <c r="O55" s="76">
        <f t="shared" si="61"/>
        <v>2013</v>
      </c>
      <c r="P55" s="103">
        <f t="shared" si="62"/>
        <v>41639</v>
      </c>
      <c r="Q55" s="135">
        <f t="shared" ref="Q55:Z55" si="65">(1+Q34)^-Q$48</f>
        <v>0.99356269615685144</v>
      </c>
      <c r="R55" s="135">
        <f t="shared" si="65"/>
        <v>0.98003867439935399</v>
      </c>
      <c r="S55" s="135">
        <f t="shared" si="65"/>
        <v>0.96092897805152822</v>
      </c>
      <c r="T55" s="135">
        <f t="shared" si="65"/>
        <v>0.93567048493257099</v>
      </c>
      <c r="U55" s="135">
        <f t="shared" si="65"/>
        <v>0.90529302377934784</v>
      </c>
      <c r="V55" s="135">
        <f t="shared" si="65"/>
        <v>0.87395873971273597</v>
      </c>
      <c r="W55" s="135">
        <f t="shared" si="65"/>
        <v>0.84418634395736147</v>
      </c>
      <c r="X55" s="135">
        <f t="shared" si="65"/>
        <v>0.81474283564974204</v>
      </c>
      <c r="Y55" s="135">
        <f t="shared" si="65"/>
        <v>0.78586284990113076</v>
      </c>
      <c r="Z55" s="135">
        <f t="shared" si="65"/>
        <v>0.75748569721150483</v>
      </c>
    </row>
    <row r="56" spans="1:26" x14ac:dyDescent="0.3">
      <c r="A56" s="76">
        <f t="shared" si="58"/>
        <v>2014</v>
      </c>
      <c r="B56" s="103">
        <f t="shared" si="59"/>
        <v>42004</v>
      </c>
      <c r="C56" s="135">
        <f t="shared" ref="C56:L56" si="66">(1+C35)^-C$48</f>
        <v>0.99429912321001934</v>
      </c>
      <c r="D56" s="135">
        <f t="shared" si="66"/>
        <v>0.9818133421284817</v>
      </c>
      <c r="E56" s="135">
        <f t="shared" si="66"/>
        <v>0.96419905892867119</v>
      </c>
      <c r="F56" s="135">
        <f t="shared" si="66"/>
        <v>0.94160374633241328</v>
      </c>
      <c r="G56" s="135">
        <f t="shared" si="66"/>
        <v>0.91469390030483755</v>
      </c>
      <c r="H56" s="135">
        <f t="shared" si="66"/>
        <v>0.88649720943342747</v>
      </c>
      <c r="I56" s="135">
        <f t="shared" si="66"/>
        <v>0.85863457399602094</v>
      </c>
      <c r="J56" s="135">
        <f t="shared" si="66"/>
        <v>0.8295577529488215</v>
      </c>
      <c r="K56" s="135">
        <f t="shared" si="66"/>
        <v>0.79978740962959116</v>
      </c>
      <c r="L56" s="135">
        <f t="shared" si="66"/>
        <v>0.76984925654868874</v>
      </c>
      <c r="O56" s="76">
        <f t="shared" si="61"/>
        <v>2014</v>
      </c>
      <c r="P56" s="103">
        <f t="shared" si="62"/>
        <v>42004</v>
      </c>
      <c r="Q56" s="135">
        <f t="shared" ref="Q56:Z56" si="67">(1+Q35)^-Q$48</f>
        <v>0.99429912321001934</v>
      </c>
      <c r="R56" s="135">
        <f t="shared" si="67"/>
        <v>0.9818133421284817</v>
      </c>
      <c r="S56" s="135">
        <f t="shared" si="67"/>
        <v>0.96419905892867119</v>
      </c>
      <c r="T56" s="135">
        <f t="shared" si="67"/>
        <v>0.94160374633241328</v>
      </c>
      <c r="U56" s="135">
        <f t="shared" si="67"/>
        <v>0.91469390030483755</v>
      </c>
      <c r="V56" s="135">
        <f t="shared" si="67"/>
        <v>0.88649720943342747</v>
      </c>
      <c r="W56" s="135">
        <f t="shared" si="67"/>
        <v>0.85863457399602094</v>
      </c>
      <c r="X56" s="135">
        <f t="shared" si="67"/>
        <v>0.8295577529488215</v>
      </c>
      <c r="Y56" s="135">
        <f t="shared" si="67"/>
        <v>0.79978740962959116</v>
      </c>
      <c r="Z56" s="135">
        <f t="shared" si="67"/>
        <v>0.76984925654868874</v>
      </c>
    </row>
    <row r="57" spans="1:26" x14ac:dyDescent="0.3">
      <c r="A57" s="76">
        <f t="shared" si="58"/>
        <v>2015</v>
      </c>
      <c r="B57" s="103">
        <f t="shared" si="59"/>
        <v>42369</v>
      </c>
      <c r="C57" s="135">
        <f t="shared" ref="C57:L57" si="68">(1+C36)^-C$48</f>
        <v>0.99676575841495207</v>
      </c>
      <c r="D57" s="135">
        <f t="shared" si="68"/>
        <v>0.98981862284915245</v>
      </c>
      <c r="E57" s="135">
        <f t="shared" si="68"/>
        <v>0.98162682978750015</v>
      </c>
      <c r="F57" s="135">
        <f t="shared" si="68"/>
        <v>0.96652166241188875</v>
      </c>
      <c r="G57" s="135">
        <f t="shared" si="68"/>
        <v>0.94413809181371222</v>
      </c>
      <c r="H57" s="135">
        <f t="shared" si="68"/>
        <v>0.91832071879831878</v>
      </c>
      <c r="I57" s="135">
        <f t="shared" si="68"/>
        <v>0.89184583083307023</v>
      </c>
      <c r="J57" s="135">
        <f t="shared" si="68"/>
        <v>0.86391161492776414</v>
      </c>
      <c r="K57" s="135">
        <f t="shared" si="68"/>
        <v>0.83545640537155119</v>
      </c>
      <c r="L57" s="135">
        <f t="shared" si="68"/>
        <v>0.80708483726974045</v>
      </c>
      <c r="O57" s="76">
        <f t="shared" si="61"/>
        <v>2015</v>
      </c>
      <c r="P57" s="103">
        <f t="shared" si="62"/>
        <v>42369</v>
      </c>
      <c r="Q57" s="135">
        <f t="shared" ref="Q57:Z57" si="69">(1+Q36)^-Q$48</f>
        <v>0.99676575841495207</v>
      </c>
      <c r="R57" s="135">
        <f t="shared" si="69"/>
        <v>0.98981862284915245</v>
      </c>
      <c r="S57" s="135">
        <f t="shared" si="69"/>
        <v>0.98162682978750015</v>
      </c>
      <c r="T57" s="135">
        <f t="shared" si="69"/>
        <v>0.96652166241188875</v>
      </c>
      <c r="U57" s="135">
        <f t="shared" si="69"/>
        <v>0.94413809181371222</v>
      </c>
      <c r="V57" s="135">
        <f t="shared" si="69"/>
        <v>0.91832071879831878</v>
      </c>
      <c r="W57" s="135">
        <f t="shared" si="69"/>
        <v>0.89184583083307023</v>
      </c>
      <c r="X57" s="135">
        <f t="shared" si="69"/>
        <v>0.86391161492776414</v>
      </c>
      <c r="Y57" s="135">
        <f t="shared" si="69"/>
        <v>0.83545640537155119</v>
      </c>
      <c r="Z57" s="135">
        <f t="shared" si="69"/>
        <v>0.80708483726974045</v>
      </c>
    </row>
    <row r="58" spans="1:26" x14ac:dyDescent="0.3">
      <c r="A58" s="76">
        <f t="shared" si="58"/>
        <v>2016</v>
      </c>
      <c r="B58" s="103">
        <f t="shared" si="59"/>
        <v>42735</v>
      </c>
      <c r="C58" s="135">
        <f t="shared" ref="C58:L58" si="70">(1+C37)^-C$48</f>
        <v>0.9965677517069168</v>
      </c>
      <c r="D58" s="135">
        <f t="shared" si="70"/>
        <v>0.98938081827042235</v>
      </c>
      <c r="E58" s="135">
        <f t="shared" si="70"/>
        <v>0.97984332032483856</v>
      </c>
      <c r="F58" s="135">
        <f t="shared" si="70"/>
        <v>0.96764343334583169</v>
      </c>
      <c r="G58" s="135">
        <f t="shared" si="70"/>
        <v>0.95269028091296271</v>
      </c>
      <c r="H58" s="135">
        <f t="shared" si="70"/>
        <v>0.93705418240214122</v>
      </c>
      <c r="I58" s="135">
        <f t="shared" si="70"/>
        <v>0.9213600362415969</v>
      </c>
      <c r="J58" s="135">
        <f t="shared" si="70"/>
        <v>0.9030088445955744</v>
      </c>
      <c r="K58" s="135">
        <f t="shared" si="70"/>
        <v>0.88193049992124362</v>
      </c>
      <c r="L58" s="135">
        <f t="shared" si="70"/>
        <v>0.85846312270874714</v>
      </c>
      <c r="O58" s="76">
        <f t="shared" si="61"/>
        <v>2016</v>
      </c>
      <c r="P58" s="103">
        <f t="shared" si="62"/>
        <v>42735</v>
      </c>
      <c r="Q58" s="135">
        <f t="shared" ref="Q58:Z58" si="71">(1+Q37)^-Q$48</f>
        <v>0.9965677517069168</v>
      </c>
      <c r="R58" s="135">
        <f t="shared" si="71"/>
        <v>0.98938081827042235</v>
      </c>
      <c r="S58" s="135">
        <f t="shared" si="71"/>
        <v>0.97984332032483856</v>
      </c>
      <c r="T58" s="135">
        <f t="shared" si="71"/>
        <v>0.96764343334583169</v>
      </c>
      <c r="U58" s="135">
        <f t="shared" si="71"/>
        <v>0.95269028091296271</v>
      </c>
      <c r="V58" s="135">
        <f t="shared" si="71"/>
        <v>0.93705418240214122</v>
      </c>
      <c r="W58" s="135">
        <f t="shared" si="71"/>
        <v>0.9213600362415969</v>
      </c>
      <c r="X58" s="135">
        <f t="shared" si="71"/>
        <v>0.9030088445955744</v>
      </c>
      <c r="Y58" s="135">
        <f t="shared" si="71"/>
        <v>0.88193049992124362</v>
      </c>
      <c r="Z58" s="135">
        <f t="shared" si="71"/>
        <v>0.85846312270874714</v>
      </c>
    </row>
    <row r="59" spans="1:26" x14ac:dyDescent="0.3">
      <c r="A59" s="76">
        <f t="shared" si="58"/>
        <v>2017</v>
      </c>
      <c r="B59" s="103">
        <f t="shared" si="59"/>
        <v>43100</v>
      </c>
      <c r="C59" s="135">
        <f t="shared" ref="C59:L59" si="72">(1+C38)^-C$48</f>
        <v>0.99465938987269997</v>
      </c>
      <c r="D59" s="135">
        <f t="shared" si="72"/>
        <v>0.98154282713770891</v>
      </c>
      <c r="E59" s="135">
        <f t="shared" si="72"/>
        <v>0.96418470094940312</v>
      </c>
      <c r="F59" s="135">
        <f t="shared" si="72"/>
        <v>0.94345570117565769</v>
      </c>
      <c r="G59" s="135">
        <f t="shared" si="72"/>
        <v>0.9201803741213892</v>
      </c>
      <c r="H59" s="135">
        <f t="shared" si="72"/>
        <v>0.89692852235041443</v>
      </c>
      <c r="I59" s="135">
        <f t="shared" si="72"/>
        <v>0.87478583154609801</v>
      </c>
      <c r="J59" s="135">
        <f t="shared" si="72"/>
        <v>0.85178174177109234</v>
      </c>
      <c r="K59" s="135">
        <f t="shared" si="72"/>
        <v>0.82820805218755267</v>
      </c>
      <c r="L59" s="135">
        <f t="shared" si="72"/>
        <v>0.80446361172820857</v>
      </c>
      <c r="O59" s="76">
        <f t="shared" si="61"/>
        <v>2017</v>
      </c>
      <c r="P59" s="103">
        <f t="shared" si="62"/>
        <v>43100</v>
      </c>
      <c r="Q59" s="135">
        <f t="shared" ref="Q59:Z59" si="73">(1+Q38)^-Q$48</f>
        <v>0.99465938987269997</v>
      </c>
      <c r="R59" s="135">
        <f t="shared" si="73"/>
        <v>0.98154282713770891</v>
      </c>
      <c r="S59" s="135">
        <f t="shared" si="73"/>
        <v>0.96418470094940312</v>
      </c>
      <c r="T59" s="135">
        <f t="shared" si="73"/>
        <v>0.94345570117565769</v>
      </c>
      <c r="U59" s="135">
        <f t="shared" si="73"/>
        <v>0.9201803741213892</v>
      </c>
      <c r="V59" s="135">
        <f t="shared" si="73"/>
        <v>0.89692852235041443</v>
      </c>
      <c r="W59" s="135">
        <f t="shared" si="73"/>
        <v>0.87478583154609801</v>
      </c>
      <c r="X59" s="135">
        <f t="shared" si="73"/>
        <v>0.85178174177109234</v>
      </c>
      <c r="Y59" s="135">
        <f t="shared" si="73"/>
        <v>0.82820805218755267</v>
      </c>
      <c r="Z59" s="135">
        <f t="shared" si="73"/>
        <v>0.80446361172820857</v>
      </c>
    </row>
    <row r="60" spans="1:26" x14ac:dyDescent="0.3">
      <c r="A60" s="76">
        <f t="shared" si="58"/>
        <v>2018</v>
      </c>
      <c r="B60" s="103">
        <f t="shared" si="59"/>
        <v>43465</v>
      </c>
      <c r="C60" s="135">
        <f t="shared" ref="C60:L60" si="74">(1+C39)^-C$48</f>
        <v>0.99080951802054795</v>
      </c>
      <c r="D60" s="135">
        <f t="shared" si="74"/>
        <v>0.96996494260843191</v>
      </c>
      <c r="E60" s="135">
        <f t="shared" si="74"/>
        <v>0.94556401666614498</v>
      </c>
      <c r="F60" s="135">
        <f t="shared" si="74"/>
        <v>0.91969494925263473</v>
      </c>
      <c r="G60" s="135">
        <f t="shared" si="74"/>
        <v>0.89258000956970573</v>
      </c>
      <c r="H60" s="135">
        <f t="shared" si="74"/>
        <v>0.86663864763375598</v>
      </c>
      <c r="I60" s="135">
        <f t="shared" si="74"/>
        <v>0.84302968035847925</v>
      </c>
      <c r="J60" s="135">
        <f t="shared" si="74"/>
        <v>0.8198484985041995</v>
      </c>
      <c r="K60" s="135">
        <f t="shared" si="74"/>
        <v>0.79717263735475286</v>
      </c>
      <c r="L60" s="135">
        <f t="shared" si="74"/>
        <v>0.77507776510090143</v>
      </c>
      <c r="O60" s="76">
        <f t="shared" si="61"/>
        <v>2018</v>
      </c>
      <c r="P60" s="103">
        <f t="shared" si="62"/>
        <v>43465</v>
      </c>
      <c r="Q60" s="135">
        <f t="shared" ref="Q60:Z60" si="75">(1+Q39)^-Q$48</f>
        <v>0.99080951802054795</v>
      </c>
      <c r="R60" s="135">
        <f t="shared" si="75"/>
        <v>0.96996494260843191</v>
      </c>
      <c r="S60" s="135">
        <f t="shared" si="75"/>
        <v>0.94556401666614498</v>
      </c>
      <c r="T60" s="135">
        <f t="shared" si="75"/>
        <v>0.91969494925263473</v>
      </c>
      <c r="U60" s="135">
        <f t="shared" si="75"/>
        <v>0.89258000956970573</v>
      </c>
      <c r="V60" s="135">
        <f t="shared" si="75"/>
        <v>0.86663864763375598</v>
      </c>
      <c r="W60" s="135">
        <f t="shared" si="75"/>
        <v>0.84302968035847925</v>
      </c>
      <c r="X60" s="135">
        <f t="shared" si="75"/>
        <v>0.8198484985041995</v>
      </c>
      <c r="Y60" s="135">
        <f t="shared" si="75"/>
        <v>0.79717263735475286</v>
      </c>
      <c r="Z60" s="135">
        <f t="shared" si="75"/>
        <v>0.77507776510090143</v>
      </c>
    </row>
    <row r="61" spans="1:26" x14ac:dyDescent="0.3">
      <c r="A61" s="76">
        <f t="shared" si="58"/>
        <v>2019</v>
      </c>
      <c r="B61" s="103">
        <f t="shared" si="59"/>
        <v>43830</v>
      </c>
      <c r="C61" s="135">
        <f t="shared" ref="C61:L61" si="76">(1+C40)^-C$48</f>
        <v>0.99052594113431125</v>
      </c>
      <c r="D61" s="135">
        <f t="shared" si="76"/>
        <v>0.96925254559143914</v>
      </c>
      <c r="E61" s="135">
        <f t="shared" si="76"/>
        <v>0.94440921914216336</v>
      </c>
      <c r="F61" s="135">
        <f t="shared" si="76"/>
        <v>0.91812524622581271</v>
      </c>
      <c r="G61" s="135">
        <f t="shared" si="76"/>
        <v>0.89062440818338873</v>
      </c>
      <c r="H61" s="135">
        <f t="shared" si="76"/>
        <v>0.86432028553862106</v>
      </c>
      <c r="I61" s="135">
        <f t="shared" si="76"/>
        <v>0.84036573926745584</v>
      </c>
      <c r="J61" s="135">
        <f t="shared" si="76"/>
        <v>0.81686060999102705</v>
      </c>
      <c r="K61" s="135">
        <f t="shared" si="76"/>
        <v>0.79388142817943752</v>
      </c>
      <c r="L61" s="135">
        <f t="shared" si="76"/>
        <v>0.77150271756110689</v>
      </c>
      <c r="O61" s="76">
        <f t="shared" si="61"/>
        <v>2019</v>
      </c>
      <c r="P61" s="103">
        <f t="shared" si="62"/>
        <v>43830</v>
      </c>
      <c r="Q61" s="135">
        <f t="shared" ref="Q61:Z61" si="77">(1+Q40)^-Q$48</f>
        <v>0.99052594113431125</v>
      </c>
      <c r="R61" s="135">
        <f t="shared" si="77"/>
        <v>0.96925254559143914</v>
      </c>
      <c r="S61" s="135">
        <f t="shared" si="77"/>
        <v>0.94440921914216336</v>
      </c>
      <c r="T61" s="135">
        <f t="shared" si="77"/>
        <v>0.91812524622581271</v>
      </c>
      <c r="U61" s="135">
        <f t="shared" si="77"/>
        <v>0.89062440818338873</v>
      </c>
      <c r="V61" s="135">
        <f t="shared" si="77"/>
        <v>0.86432028553862106</v>
      </c>
      <c r="W61" s="135">
        <f t="shared" si="77"/>
        <v>0.84036573926745584</v>
      </c>
      <c r="X61" s="135">
        <f t="shared" si="77"/>
        <v>0.81686060999102705</v>
      </c>
      <c r="Y61" s="135">
        <f t="shared" si="77"/>
        <v>0.79388142817943752</v>
      </c>
      <c r="Z61" s="135">
        <f t="shared" si="77"/>
        <v>0.77150271756110689</v>
      </c>
    </row>
    <row r="62" spans="1:26" x14ac:dyDescent="0.3">
      <c r="A62" s="76">
        <f t="shared" si="58"/>
        <v>2020</v>
      </c>
      <c r="B62" s="103">
        <f t="shared" si="59"/>
        <v>44196</v>
      </c>
      <c r="C62" s="135">
        <f t="shared" ref="C62:L62" si="78">(1+C41)^-C$48</f>
        <v>0.99024260759408178</v>
      </c>
      <c r="D62" s="135">
        <f t="shared" si="78"/>
        <v>0.96854102018864707</v>
      </c>
      <c r="E62" s="135">
        <f t="shared" si="78"/>
        <v>0.94325639511607817</v>
      </c>
      <c r="F62" s="135">
        <f t="shared" si="78"/>
        <v>0.91655898609501374</v>
      </c>
      <c r="G62" s="135">
        <f t="shared" si="78"/>
        <v>0.88867404102059977</v>
      </c>
      <c r="H62" s="135">
        <f t="shared" si="78"/>
        <v>0.86200924939311208</v>
      </c>
      <c r="I62" s="135">
        <f t="shared" si="78"/>
        <v>0.83771150647554482</v>
      </c>
      <c r="J62" s="135">
        <f t="shared" si="78"/>
        <v>0.81388505655287302</v>
      </c>
      <c r="K62" s="135">
        <f t="shared" si="78"/>
        <v>0.79060539832385845</v>
      </c>
      <c r="L62" s="135">
        <f t="shared" si="78"/>
        <v>0.7679458868668223</v>
      </c>
      <c r="O62" s="76">
        <f t="shared" si="61"/>
        <v>2020</v>
      </c>
      <c r="P62" s="103">
        <f t="shared" si="62"/>
        <v>44196</v>
      </c>
      <c r="Q62" s="135">
        <f t="shared" ref="Q62:Z62" si="79">(1+Q41)^-Q$48</f>
        <v>0.99024260759408178</v>
      </c>
      <c r="R62" s="135">
        <f t="shared" si="79"/>
        <v>0.96854102018864707</v>
      </c>
      <c r="S62" s="135">
        <f t="shared" si="79"/>
        <v>0.94325639511607817</v>
      </c>
      <c r="T62" s="135">
        <f t="shared" si="79"/>
        <v>0.91655898609501374</v>
      </c>
      <c r="U62" s="135">
        <f t="shared" si="79"/>
        <v>0.88867404102059977</v>
      </c>
      <c r="V62" s="135">
        <f t="shared" si="79"/>
        <v>0.86200924939311208</v>
      </c>
      <c r="W62" s="135">
        <f t="shared" si="79"/>
        <v>0.83771150647554482</v>
      </c>
      <c r="X62" s="135">
        <f t="shared" si="79"/>
        <v>0.81388505655287302</v>
      </c>
      <c r="Y62" s="135">
        <f t="shared" si="79"/>
        <v>0.79060539832385845</v>
      </c>
      <c r="Z62" s="135">
        <f t="shared" si="79"/>
        <v>0.7679458868668223</v>
      </c>
    </row>
    <row r="63" spans="1:26" x14ac:dyDescent="0.3">
      <c r="A63" s="76">
        <f t="shared" si="58"/>
        <v>2021</v>
      </c>
      <c r="B63" s="103">
        <f t="shared" si="59"/>
        <v>44561</v>
      </c>
      <c r="C63" s="135">
        <f t="shared" ref="C63:L63" si="80">(1+C42)^-C$48</f>
        <v>0.98995951705202034</v>
      </c>
      <c r="D63" s="135">
        <f t="shared" si="80"/>
        <v>0.96783036490780372</v>
      </c>
      <c r="E63" s="135">
        <f t="shared" si="80"/>
        <v>0.94210554025377924</v>
      </c>
      <c r="F63" s="135">
        <f t="shared" si="80"/>
        <v>0.91499615963518655</v>
      </c>
      <c r="G63" s="135">
        <f t="shared" si="80"/>
        <v>0.88672889153265377</v>
      </c>
      <c r="H63" s="135">
        <f t="shared" si="80"/>
        <v>0.85970551249894611</v>
      </c>
      <c r="I63" s="135">
        <f t="shared" si="80"/>
        <v>0.83506694190453457</v>
      </c>
      <c r="J63" s="135">
        <f t="shared" si="80"/>
        <v>0.81092178130274761</v>
      </c>
      <c r="K63" s="135">
        <f t="shared" si="80"/>
        <v>0.78734447044805367</v>
      </c>
      <c r="L63" s="135">
        <f t="shared" si="80"/>
        <v>0.76440717140200065</v>
      </c>
      <c r="O63" s="76">
        <f t="shared" si="61"/>
        <v>2021</v>
      </c>
      <c r="P63" s="103">
        <f t="shared" si="62"/>
        <v>44561</v>
      </c>
      <c r="Q63" s="135">
        <f>(1+Q42)^-Q$48</f>
        <v>0.98995951705202034</v>
      </c>
      <c r="R63" s="135">
        <f t="shared" ref="R63:Z63" si="81">(1+R42)^-R$48</f>
        <v>0.96783036490780372</v>
      </c>
      <c r="S63" s="135">
        <f t="shared" si="81"/>
        <v>0.94210554025377924</v>
      </c>
      <c r="T63" s="135">
        <f t="shared" si="81"/>
        <v>0.91499615963518655</v>
      </c>
      <c r="U63" s="135">
        <f t="shared" si="81"/>
        <v>0.88672889153265377</v>
      </c>
      <c r="V63" s="135">
        <f t="shared" si="81"/>
        <v>0.85970551249894611</v>
      </c>
      <c r="W63" s="135">
        <f t="shared" si="81"/>
        <v>0.83506694190453457</v>
      </c>
      <c r="X63" s="135">
        <f t="shared" si="81"/>
        <v>0.81092178130274761</v>
      </c>
      <c r="Y63" s="135">
        <f t="shared" si="81"/>
        <v>0.78734447044805367</v>
      </c>
      <c r="Z63" s="135">
        <f t="shared" si="81"/>
        <v>0.76440717140200065</v>
      </c>
    </row>
    <row r="64" spans="1:26" x14ac:dyDescent="0.3">
      <c r="A64" s="76">
        <f>$A$23</f>
        <v>2022</v>
      </c>
      <c r="B64" s="103">
        <f t="shared" si="59"/>
        <v>44804</v>
      </c>
      <c r="C64" s="135">
        <f t="shared" ref="C64:L64" si="82">(1+C43)^-C$48</f>
        <v>0.98966253312980446</v>
      </c>
      <c r="D64" s="135">
        <f t="shared" si="82"/>
        <v>0.96712057825994047</v>
      </c>
      <c r="E64" s="135">
        <f t="shared" si="82"/>
        <v>0.94095665023278519</v>
      </c>
      <c r="F64" s="135">
        <f t="shared" si="82"/>
        <v>0.91343675765047583</v>
      </c>
      <c r="G64" s="135">
        <f t="shared" si="82"/>
        <v>0.88478894323120427</v>
      </c>
      <c r="H64" s="135">
        <f t="shared" si="82"/>
        <v>0.85740904826805275</v>
      </c>
      <c r="I64" s="135">
        <f t="shared" si="82"/>
        <v>0.83243200566104281</v>
      </c>
      <c r="J64" s="135">
        <f t="shared" si="82"/>
        <v>0.80797072764349132</v>
      </c>
      <c r="K64" s="135">
        <f t="shared" si="82"/>
        <v>0.78409856764343</v>
      </c>
      <c r="L64" s="135">
        <f t="shared" si="82"/>
        <v>0.76088647016641797</v>
      </c>
      <c r="O64" s="76">
        <f>$A$23</f>
        <v>2022</v>
      </c>
      <c r="P64" s="103">
        <f t="shared" si="62"/>
        <v>44804</v>
      </c>
      <c r="Q64" s="135"/>
      <c r="R64" s="135"/>
      <c r="S64" s="135"/>
      <c r="T64" s="135"/>
      <c r="U64" s="135"/>
      <c r="V64" s="135"/>
      <c r="W64" s="135"/>
      <c r="X64" s="135"/>
      <c r="Y64" s="135"/>
      <c r="Z64" s="135"/>
    </row>
    <row r="65" spans="1:26" x14ac:dyDescent="0.3">
      <c r="A65" s="32"/>
      <c r="B65" s="32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O65" s="32"/>
      <c r="P65" s="32"/>
      <c r="Q65" s="136"/>
      <c r="R65" s="136"/>
      <c r="S65" s="136"/>
      <c r="T65" s="136"/>
      <c r="U65" s="136"/>
      <c r="V65" s="136"/>
      <c r="W65" s="136"/>
      <c r="X65" s="136"/>
      <c r="Y65" s="136"/>
      <c r="Z65" s="136"/>
    </row>
    <row r="68" spans="1:26" x14ac:dyDescent="0.3">
      <c r="A68" s="47" t="s">
        <v>13</v>
      </c>
      <c r="O68" s="47"/>
    </row>
    <row r="69" spans="1:26" x14ac:dyDescent="0.3">
      <c r="A69" s="92" t="s">
        <v>311</v>
      </c>
    </row>
    <row r="70" spans="1:26" x14ac:dyDescent="0.3">
      <c r="A70" s="92" t="s">
        <v>316</v>
      </c>
    </row>
    <row r="71" spans="1:26" x14ac:dyDescent="0.3">
      <c r="A71" s="92" t="s">
        <v>317</v>
      </c>
    </row>
    <row r="72" spans="1:26" x14ac:dyDescent="0.3">
      <c r="A72" s="92" t="s">
        <v>356</v>
      </c>
    </row>
    <row r="73" spans="1:26" x14ac:dyDescent="0.3">
      <c r="A73" s="92" t="s">
        <v>366</v>
      </c>
    </row>
    <row r="74" spans="1:26" x14ac:dyDescent="0.3">
      <c r="A74" s="92" t="s">
        <v>227</v>
      </c>
    </row>
    <row r="75" spans="1:26" x14ac:dyDescent="0.3">
      <c r="A75" s="92" t="s">
        <v>228</v>
      </c>
    </row>
    <row r="76" spans="1:26" x14ac:dyDescent="0.3">
      <c r="A76" s="92"/>
    </row>
  </sheetData>
  <sheetProtection sheet="1" objects="1" scenarios="1"/>
  <printOptions horizontalCentered="1"/>
  <pageMargins left="0.70866141732283472" right="0.70866141732283472" top="0.74803149606299213" bottom="0.35433070866141736" header="0.31496062992125984" footer="0.31496062992125984"/>
  <pageSetup scale="69" orientation="landscape" blackAndWhite="1" r:id="rId1"/>
  <rowBreaks count="1" manualBreakCount="1">
    <brk id="45" max="1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A5414-F502-4371-ABB1-4E638C2C3534}">
  <dimension ref="A1:U36"/>
  <sheetViews>
    <sheetView view="pageBreakPreview" zoomScale="85" zoomScaleNormal="100" zoomScaleSheetLayoutView="85" workbookViewId="0">
      <selection activeCell="L23" sqref="L23"/>
    </sheetView>
  </sheetViews>
  <sheetFormatPr defaultColWidth="11.77734375" defaultRowHeight="14.4" x14ac:dyDescent="0.3"/>
  <cols>
    <col min="1" max="1" width="12" style="34" customWidth="1"/>
    <col min="2" max="11" width="14.21875" style="34" customWidth="1"/>
    <col min="12" max="12" width="9.5546875" style="34" customWidth="1"/>
    <col min="13" max="21" width="14.21875" style="34" customWidth="1"/>
    <col min="22" max="16384" width="11.77734375" style="34"/>
  </cols>
  <sheetData>
    <row r="1" spans="1:21" x14ac:dyDescent="0.3">
      <c r="A1" s="80" t="s">
        <v>149</v>
      </c>
      <c r="B1" s="80"/>
      <c r="C1" s="80"/>
      <c r="D1" s="81"/>
      <c r="E1" s="81"/>
      <c r="F1" s="80"/>
      <c r="G1" s="80"/>
      <c r="H1" s="81"/>
      <c r="I1" s="81"/>
      <c r="J1" s="81"/>
      <c r="L1" s="80" t="s">
        <v>303</v>
      </c>
      <c r="M1" s="80"/>
      <c r="N1" s="80"/>
      <c r="O1" s="81"/>
      <c r="P1" s="81"/>
      <c r="Q1" s="80"/>
      <c r="R1" s="80"/>
      <c r="S1" s="81"/>
      <c r="T1" s="81"/>
      <c r="U1" s="81"/>
    </row>
    <row r="2" spans="1:21" x14ac:dyDescent="0.3">
      <c r="A2" s="81"/>
      <c r="B2" s="81"/>
      <c r="C2" s="81"/>
      <c r="D2" s="81"/>
      <c r="E2" s="81"/>
      <c r="F2" s="81"/>
      <c r="G2" s="81"/>
      <c r="H2" s="81"/>
      <c r="I2" s="81"/>
      <c r="J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spans="1:21" x14ac:dyDescent="0.3">
      <c r="A3" s="80" t="str">
        <f>CompanyName</f>
        <v>Company ABC</v>
      </c>
      <c r="B3" s="80"/>
      <c r="C3" s="80"/>
      <c r="D3" s="81"/>
      <c r="E3" s="81"/>
      <c r="F3" s="80"/>
      <c r="G3" s="80"/>
      <c r="H3" s="81"/>
      <c r="I3" s="81"/>
      <c r="J3" s="81"/>
      <c r="L3" s="80" t="str">
        <f>CompanyName</f>
        <v>Company ABC</v>
      </c>
      <c r="M3" s="80"/>
      <c r="N3" s="80"/>
      <c r="O3" s="81"/>
      <c r="P3" s="81"/>
      <c r="Q3" s="80"/>
      <c r="R3" s="80"/>
      <c r="S3" s="81"/>
      <c r="T3" s="81"/>
      <c r="U3" s="81"/>
    </row>
    <row r="4" spans="1:21" x14ac:dyDescent="0.3">
      <c r="A4" s="81" t="s">
        <v>50</v>
      </c>
      <c r="B4" s="81"/>
      <c r="C4" s="81"/>
      <c r="D4" s="81"/>
      <c r="E4" s="81"/>
      <c r="F4" s="81"/>
      <c r="G4" s="81"/>
      <c r="H4" s="81"/>
      <c r="I4" s="81"/>
      <c r="J4" s="81"/>
      <c r="L4" s="81" t="s">
        <v>50</v>
      </c>
      <c r="M4" s="81"/>
      <c r="N4" s="81"/>
      <c r="O4" s="81"/>
      <c r="P4" s="81"/>
      <c r="Q4" s="81"/>
      <c r="R4" s="81"/>
      <c r="S4" s="81"/>
      <c r="T4" s="81"/>
      <c r="U4" s="81"/>
    </row>
    <row r="5" spans="1:21" x14ac:dyDescent="0.3">
      <c r="A5" s="81" t="str">
        <f>"As at "&amp;TEXT(ValDate,"mmmm dd, yyyy")</f>
        <v>As at December 31, 2022</v>
      </c>
      <c r="B5" s="81"/>
      <c r="C5" s="81"/>
      <c r="D5" s="81"/>
      <c r="E5" s="81"/>
      <c r="F5" s="81"/>
      <c r="G5" s="81"/>
      <c r="H5" s="81"/>
      <c r="I5" s="81"/>
      <c r="J5" s="81"/>
      <c r="L5" s="81" t="str">
        <f>"As at "&amp;TEXT(ValDate-365,"mmmm dd, yyyy")</f>
        <v>As at December 31, 2021</v>
      </c>
      <c r="M5" s="81"/>
      <c r="N5" s="81"/>
      <c r="O5" s="81"/>
      <c r="P5" s="81"/>
      <c r="Q5" s="81"/>
      <c r="R5" s="81"/>
      <c r="S5" s="81"/>
      <c r="T5" s="81"/>
      <c r="U5" s="81"/>
    </row>
    <row r="8" spans="1:21" x14ac:dyDescent="0.3">
      <c r="B8" s="83" t="s">
        <v>14</v>
      </c>
      <c r="C8" s="83" t="s">
        <v>15</v>
      </c>
      <c r="D8" s="83" t="s">
        <v>16</v>
      </c>
      <c r="E8" s="83" t="s">
        <v>119</v>
      </c>
      <c r="F8" s="83" t="s">
        <v>120</v>
      </c>
      <c r="G8" s="83" t="s">
        <v>121</v>
      </c>
      <c r="H8" s="83" t="s">
        <v>122</v>
      </c>
      <c r="I8" s="83" t="s">
        <v>123</v>
      </c>
      <c r="J8" s="83" t="s">
        <v>124</v>
      </c>
      <c r="M8" s="83" t="s">
        <v>14</v>
      </c>
      <c r="N8" s="83" t="s">
        <v>15</v>
      </c>
      <c r="O8" s="83" t="s">
        <v>16</v>
      </c>
      <c r="P8" s="83" t="s">
        <v>119</v>
      </c>
      <c r="Q8" s="83" t="s">
        <v>120</v>
      </c>
      <c r="R8" s="83" t="s">
        <v>121</v>
      </c>
      <c r="S8" s="83" t="s">
        <v>122</v>
      </c>
      <c r="T8" s="83" t="s">
        <v>123</v>
      </c>
      <c r="U8" s="83" t="s">
        <v>124</v>
      </c>
    </row>
    <row r="9" spans="1:21" x14ac:dyDescent="0.3">
      <c r="B9" s="94" t="s">
        <v>144</v>
      </c>
      <c r="C9" s="94"/>
      <c r="D9" s="94"/>
      <c r="E9" s="95"/>
      <c r="F9" s="94" t="s">
        <v>229</v>
      </c>
      <c r="G9" s="94"/>
      <c r="H9" s="94"/>
      <c r="I9" s="95"/>
      <c r="J9" s="96" t="s">
        <v>93</v>
      </c>
      <c r="M9" s="94" t="s">
        <v>144</v>
      </c>
      <c r="N9" s="94"/>
      <c r="O9" s="94"/>
      <c r="P9" s="95"/>
      <c r="Q9" s="94" t="s">
        <v>145</v>
      </c>
      <c r="R9" s="94"/>
      <c r="S9" s="94"/>
      <c r="T9" s="95"/>
      <c r="U9" s="96" t="s">
        <v>93</v>
      </c>
    </row>
    <row r="10" spans="1:21" x14ac:dyDescent="0.3">
      <c r="A10" s="76" t="s">
        <v>291</v>
      </c>
      <c r="B10" s="73" t="s">
        <v>66</v>
      </c>
      <c r="C10" s="73" t="s">
        <v>21</v>
      </c>
      <c r="D10" s="73" t="s">
        <v>68</v>
      </c>
      <c r="E10" s="37" t="s">
        <v>69</v>
      </c>
      <c r="F10" s="73" t="s">
        <v>66</v>
      </c>
      <c r="G10" s="73" t="s">
        <v>21</v>
      </c>
      <c r="H10" s="73" t="s">
        <v>68</v>
      </c>
      <c r="I10" s="37" t="s">
        <v>69</v>
      </c>
      <c r="J10" s="23" t="s">
        <v>69</v>
      </c>
      <c r="K10" s="33"/>
      <c r="L10" s="76" t="s">
        <v>9</v>
      </c>
      <c r="M10" s="73" t="s">
        <v>66</v>
      </c>
      <c r="N10" s="73" t="s">
        <v>21</v>
      </c>
      <c r="O10" s="73" t="s">
        <v>68</v>
      </c>
      <c r="P10" s="37" t="s">
        <v>69</v>
      </c>
      <c r="Q10" s="73" t="s">
        <v>66</v>
      </c>
      <c r="R10" s="73" t="s">
        <v>21</v>
      </c>
      <c r="S10" s="73" t="s">
        <v>68</v>
      </c>
      <c r="T10" s="37" t="s">
        <v>69</v>
      </c>
      <c r="U10" s="23" t="s">
        <v>69</v>
      </c>
    </row>
    <row r="11" spans="1:21" x14ac:dyDescent="0.3">
      <c r="A11" s="71" t="s">
        <v>10</v>
      </c>
      <c r="B11" s="25" t="s">
        <v>67</v>
      </c>
      <c r="C11" s="25" t="s">
        <v>67</v>
      </c>
      <c r="D11" s="25" t="s">
        <v>43</v>
      </c>
      <c r="E11" s="42" t="s">
        <v>67</v>
      </c>
      <c r="F11" s="25" t="s">
        <v>67</v>
      </c>
      <c r="G11" s="25" t="s">
        <v>67</v>
      </c>
      <c r="H11" s="25" t="s">
        <v>43</v>
      </c>
      <c r="I11" s="42" t="s">
        <v>67</v>
      </c>
      <c r="J11" s="25" t="s">
        <v>67</v>
      </c>
      <c r="K11" s="33"/>
      <c r="L11" s="71" t="s">
        <v>10</v>
      </c>
      <c r="M11" s="25" t="s">
        <v>67</v>
      </c>
      <c r="N11" s="25" t="s">
        <v>67</v>
      </c>
      <c r="O11" s="25" t="s">
        <v>43</v>
      </c>
      <c r="P11" s="42" t="s">
        <v>67</v>
      </c>
      <c r="Q11" s="25" t="s">
        <v>67</v>
      </c>
      <c r="R11" s="25" t="s">
        <v>67</v>
      </c>
      <c r="S11" s="25" t="s">
        <v>43</v>
      </c>
      <c r="T11" s="42" t="s">
        <v>67</v>
      </c>
      <c r="U11" s="25" t="s">
        <v>67</v>
      </c>
    </row>
    <row r="12" spans="1:21" x14ac:dyDescent="0.3">
      <c r="A12" s="76">
        <f t="shared" ref="A12:A21" si="0">A13-1</f>
        <v>2012</v>
      </c>
      <c r="B12" s="46">
        <f>'3-Current'!B32</f>
        <v>22632</v>
      </c>
      <c r="C12" s="46">
        <f>'3-Current'!M32</f>
        <v>22366.384983476641</v>
      </c>
      <c r="D12" s="46">
        <f t="shared" ref="D12:D22" si="1">0.05*C12</f>
        <v>1118.3192491738321</v>
      </c>
      <c r="E12" s="52">
        <f t="shared" ref="E12:E22" si="2">+C12+D12</f>
        <v>23484.704232650474</v>
      </c>
      <c r="F12" s="46">
        <f t="shared" ref="F12:F22" si="3">B12</f>
        <v>22632</v>
      </c>
      <c r="G12" s="46">
        <f>'4-Locked'!M13</f>
        <v>22506.315569331404</v>
      </c>
      <c r="H12" s="46">
        <f t="shared" ref="H12:H22" si="4">0.05*G12</f>
        <v>1125.3157784665702</v>
      </c>
      <c r="I12" s="52">
        <f t="shared" ref="I12:I22" si="5">+G12+H12</f>
        <v>23631.631347797975</v>
      </c>
      <c r="J12" s="50">
        <f t="shared" ref="J12:J22" si="6">E12-I12</f>
        <v>-146.92711514750044</v>
      </c>
      <c r="K12" s="33"/>
      <c r="L12" s="76">
        <f t="shared" ref="L12:L21" si="7">L13-1</f>
        <v>2012</v>
      </c>
      <c r="M12" s="46">
        <f>'3-Current'!P13</f>
        <v>0</v>
      </c>
      <c r="N12" s="46">
        <f>'3-Current'!AA13</f>
        <v>0</v>
      </c>
      <c r="O12" s="46">
        <f t="shared" ref="O12:O22" si="8">0.075*N12</f>
        <v>0</v>
      </c>
      <c r="P12" s="52">
        <f t="shared" ref="P12:P22" si="9">+N12+O12</f>
        <v>0</v>
      </c>
      <c r="Q12" s="46">
        <f t="shared" ref="Q12:Q22" si="10">M12</f>
        <v>0</v>
      </c>
      <c r="R12" s="46">
        <f>'4-Locked'!AA13</f>
        <v>80207.222521881078</v>
      </c>
      <c r="S12" s="46">
        <f t="shared" ref="S12:S22" si="11">0.075*R12</f>
        <v>6015.5416891410805</v>
      </c>
      <c r="T12" s="52">
        <f t="shared" ref="T12:T22" si="12">+R12+S12</f>
        <v>86222.764211022164</v>
      </c>
      <c r="U12" s="50">
        <f t="shared" ref="U12:U22" si="13">P12-T12</f>
        <v>-86222.764211022164</v>
      </c>
    </row>
    <row r="13" spans="1:21" x14ac:dyDescent="0.3">
      <c r="A13" s="76">
        <f t="shared" si="0"/>
        <v>2013</v>
      </c>
      <c r="B13" s="46">
        <f>'3-Current'!B33</f>
        <v>111376.49999999993</v>
      </c>
      <c r="C13" s="46">
        <f>'3-Current'!M33</f>
        <v>110069.35653553306</v>
      </c>
      <c r="D13" s="46">
        <f t="shared" si="1"/>
        <v>5503.467826776654</v>
      </c>
      <c r="E13" s="52">
        <f t="shared" si="2"/>
        <v>115572.82436230972</v>
      </c>
      <c r="F13" s="46">
        <f t="shared" si="3"/>
        <v>111376.49999999993</v>
      </c>
      <c r="G13" s="46">
        <f>'4-Locked'!M14</f>
        <v>110659.53562851349</v>
      </c>
      <c r="H13" s="46">
        <f t="shared" si="4"/>
        <v>5532.9767814256747</v>
      </c>
      <c r="I13" s="52">
        <f t="shared" si="5"/>
        <v>116192.51240993917</v>
      </c>
      <c r="J13" s="50">
        <f t="shared" si="6"/>
        <v>-619.68804762944637</v>
      </c>
      <c r="K13" s="33"/>
      <c r="L13" s="76">
        <f t="shared" si="7"/>
        <v>2013</v>
      </c>
      <c r="M13" s="46">
        <f>'3-Current'!P14</f>
        <v>161310.26462534757</v>
      </c>
      <c r="N13" s="46">
        <f>'3-Current'!AA14</f>
        <v>159378.1755295386</v>
      </c>
      <c r="O13" s="46">
        <f t="shared" si="8"/>
        <v>11953.363164715394</v>
      </c>
      <c r="P13" s="52">
        <f t="shared" si="9"/>
        <v>171331.53869425398</v>
      </c>
      <c r="Q13" s="46">
        <f t="shared" si="10"/>
        <v>161310.26462534757</v>
      </c>
      <c r="R13" s="46">
        <f>'4-Locked'!AA14</f>
        <v>454634.38018521463</v>
      </c>
      <c r="S13" s="46">
        <f t="shared" si="11"/>
        <v>34097.578513891094</v>
      </c>
      <c r="T13" s="52">
        <f t="shared" si="12"/>
        <v>488731.95869910571</v>
      </c>
      <c r="U13" s="50">
        <f t="shared" si="13"/>
        <v>-317400.42000485177</v>
      </c>
    </row>
    <row r="14" spans="1:21" x14ac:dyDescent="0.3">
      <c r="A14" s="76">
        <f t="shared" si="0"/>
        <v>2014</v>
      </c>
      <c r="B14" s="46">
        <f>'3-Current'!B34</f>
        <v>479892.49999999959</v>
      </c>
      <c r="C14" s="46">
        <f>'3-Current'!M34</f>
        <v>469468.5989235267</v>
      </c>
      <c r="D14" s="46">
        <f t="shared" si="1"/>
        <v>23473.429946176337</v>
      </c>
      <c r="E14" s="52">
        <f t="shared" si="2"/>
        <v>492942.02886970306</v>
      </c>
      <c r="F14" s="46">
        <f t="shared" si="3"/>
        <v>479892.49999999959</v>
      </c>
      <c r="G14" s="46">
        <f>'4-Locked'!M15</f>
        <v>474714.79783582315</v>
      </c>
      <c r="H14" s="46">
        <f t="shared" si="4"/>
        <v>23735.73989179116</v>
      </c>
      <c r="I14" s="52">
        <f t="shared" si="5"/>
        <v>498450.53772761428</v>
      </c>
      <c r="J14" s="50">
        <f t="shared" si="6"/>
        <v>-5508.5088579112198</v>
      </c>
      <c r="K14" s="33"/>
      <c r="L14" s="76">
        <f t="shared" si="7"/>
        <v>2014</v>
      </c>
      <c r="M14" s="46">
        <f>'3-Current'!P15</f>
        <v>759015.3818350971</v>
      </c>
      <c r="N14" s="46">
        <f>'3-Current'!AA15</f>
        <v>740450.03545701317</v>
      </c>
      <c r="O14" s="46">
        <f t="shared" si="8"/>
        <v>55533.75265927599</v>
      </c>
      <c r="P14" s="52">
        <f t="shared" si="9"/>
        <v>795983.78811628919</v>
      </c>
      <c r="Q14" s="46">
        <f t="shared" si="10"/>
        <v>759015.3818350971</v>
      </c>
      <c r="R14" s="46">
        <f>'4-Locked'!AA15</f>
        <v>788789.19002773974</v>
      </c>
      <c r="S14" s="46">
        <f t="shared" si="11"/>
        <v>59159.189252080476</v>
      </c>
      <c r="T14" s="52">
        <f t="shared" si="12"/>
        <v>847948.37927982025</v>
      </c>
      <c r="U14" s="50">
        <f t="shared" si="13"/>
        <v>-51964.591163531062</v>
      </c>
    </row>
    <row r="15" spans="1:21" x14ac:dyDescent="0.3">
      <c r="A15" s="76">
        <f t="shared" si="0"/>
        <v>2015</v>
      </c>
      <c r="B15" s="46">
        <f>'3-Current'!B35</f>
        <v>810339.4999999993</v>
      </c>
      <c r="C15" s="46">
        <f>'3-Current'!M35</f>
        <v>788164.16851017205</v>
      </c>
      <c r="D15" s="46">
        <f t="shared" si="1"/>
        <v>39408.208425508608</v>
      </c>
      <c r="E15" s="52">
        <f t="shared" si="2"/>
        <v>827572.37693568063</v>
      </c>
      <c r="F15" s="46">
        <f t="shared" si="3"/>
        <v>810339.4999999993</v>
      </c>
      <c r="G15" s="46">
        <f>'4-Locked'!M16</f>
        <v>804045.41460538039</v>
      </c>
      <c r="H15" s="46">
        <f t="shared" si="4"/>
        <v>40202.270730269025</v>
      </c>
      <c r="I15" s="52">
        <f t="shared" si="5"/>
        <v>844247.68533564941</v>
      </c>
      <c r="J15" s="50">
        <f t="shared" si="6"/>
        <v>-16675.308399968781</v>
      </c>
      <c r="K15" s="33"/>
      <c r="L15" s="76">
        <f t="shared" si="7"/>
        <v>2015</v>
      </c>
      <c r="M15" s="46">
        <f>'3-Current'!P16</f>
        <v>841382.87164158828</v>
      </c>
      <c r="N15" s="46">
        <f>'3-Current'!AA16</f>
        <v>815215.60955186537</v>
      </c>
      <c r="O15" s="46">
        <f t="shared" si="8"/>
        <v>61141.170716389897</v>
      </c>
      <c r="P15" s="52">
        <f t="shared" si="9"/>
        <v>876356.78026825527</v>
      </c>
      <c r="Q15" s="46">
        <f t="shared" si="10"/>
        <v>841382.87164158828</v>
      </c>
      <c r="R15" s="46">
        <f>'4-Locked'!AA16</f>
        <v>1099151.5249808116</v>
      </c>
      <c r="S15" s="46">
        <f t="shared" si="11"/>
        <v>82436.364373560864</v>
      </c>
      <c r="T15" s="52">
        <f t="shared" si="12"/>
        <v>1181587.8893543724</v>
      </c>
      <c r="U15" s="50">
        <f t="shared" si="13"/>
        <v>-305231.10908611713</v>
      </c>
    </row>
    <row r="16" spans="1:21" x14ac:dyDescent="0.3">
      <c r="A16" s="76">
        <f t="shared" si="0"/>
        <v>2016</v>
      </c>
      <c r="B16" s="46">
        <f>'3-Current'!B36</f>
        <v>1017841.9999999991</v>
      </c>
      <c r="C16" s="46">
        <f>'3-Current'!M36</f>
        <v>980147.99431505625</v>
      </c>
      <c r="D16" s="46">
        <f t="shared" si="1"/>
        <v>49007.399715752814</v>
      </c>
      <c r="E16" s="52">
        <f t="shared" si="2"/>
        <v>1029155.3940308091</v>
      </c>
      <c r="F16" s="46">
        <f t="shared" si="3"/>
        <v>1017841.9999999991</v>
      </c>
      <c r="G16" s="46">
        <f>'4-Locked'!M17</f>
        <v>1005853.8917367732</v>
      </c>
      <c r="H16" s="46">
        <f t="shared" si="4"/>
        <v>50292.694586838661</v>
      </c>
      <c r="I16" s="52">
        <f t="shared" si="5"/>
        <v>1056146.5863236119</v>
      </c>
      <c r="J16" s="50">
        <f t="shared" si="6"/>
        <v>-26991.192292802851</v>
      </c>
      <c r="K16" s="33"/>
      <c r="L16" s="76">
        <f t="shared" si="7"/>
        <v>2016</v>
      </c>
      <c r="M16" s="46">
        <f>'3-Current'!P17</f>
        <v>1382415.8349884809</v>
      </c>
      <c r="N16" s="46">
        <f>'3-Current'!AA17</f>
        <v>1323858.8098319343</v>
      </c>
      <c r="O16" s="46">
        <f t="shared" si="8"/>
        <v>99289.410737395068</v>
      </c>
      <c r="P16" s="52">
        <f t="shared" si="9"/>
        <v>1423148.2205693293</v>
      </c>
      <c r="Q16" s="46">
        <f t="shared" si="10"/>
        <v>1382415.8349884809</v>
      </c>
      <c r="R16" s="46">
        <f>'4-Locked'!AA17</f>
        <v>3800647.5940992977</v>
      </c>
      <c r="S16" s="46">
        <f t="shared" si="11"/>
        <v>285048.56955744734</v>
      </c>
      <c r="T16" s="52">
        <f t="shared" si="12"/>
        <v>4085696.1636567451</v>
      </c>
      <c r="U16" s="50">
        <f t="shared" si="13"/>
        <v>-2662547.9430874158</v>
      </c>
    </row>
    <row r="17" spans="1:21" x14ac:dyDescent="0.3">
      <c r="A17" s="76">
        <f t="shared" si="0"/>
        <v>2017</v>
      </c>
      <c r="B17" s="46">
        <f>'3-Current'!B37</f>
        <v>3566313.4999999991</v>
      </c>
      <c r="C17" s="46">
        <f>'3-Current'!M37</f>
        <v>3395721.2166539743</v>
      </c>
      <c r="D17" s="46">
        <f t="shared" si="1"/>
        <v>169786.06083269871</v>
      </c>
      <c r="E17" s="52">
        <f t="shared" si="2"/>
        <v>3565507.2774866731</v>
      </c>
      <c r="F17" s="46">
        <f t="shared" si="3"/>
        <v>3566313.4999999991</v>
      </c>
      <c r="G17" s="46">
        <f>'4-Locked'!M18</f>
        <v>3466310.0862278324</v>
      </c>
      <c r="H17" s="46">
        <f t="shared" si="4"/>
        <v>173315.50431139162</v>
      </c>
      <c r="I17" s="52">
        <f t="shared" si="5"/>
        <v>3639625.590539224</v>
      </c>
      <c r="J17" s="50">
        <f t="shared" si="6"/>
        <v>-74118.31305255089</v>
      </c>
      <c r="K17" s="33"/>
      <c r="L17" s="76">
        <f t="shared" si="7"/>
        <v>2017</v>
      </c>
      <c r="M17" s="46">
        <f>'3-Current'!P18</f>
        <v>6344258.9423610773</v>
      </c>
      <c r="N17" s="46">
        <f>'3-Current'!AA18</f>
        <v>6027240.0837487839</v>
      </c>
      <c r="O17" s="46">
        <f t="shared" si="8"/>
        <v>452043.00628115877</v>
      </c>
      <c r="P17" s="52">
        <f t="shared" si="9"/>
        <v>6479283.0900299428</v>
      </c>
      <c r="Q17" s="46">
        <f t="shared" si="10"/>
        <v>6344258.9423610773</v>
      </c>
      <c r="R17" s="46">
        <f>'4-Locked'!AA18</f>
        <v>4223723.3485339452</v>
      </c>
      <c r="S17" s="46">
        <f t="shared" si="11"/>
        <v>316779.25114004588</v>
      </c>
      <c r="T17" s="52">
        <f t="shared" si="12"/>
        <v>4540502.5996739911</v>
      </c>
      <c r="U17" s="50">
        <f t="shared" si="13"/>
        <v>1938780.4903559517</v>
      </c>
    </row>
    <row r="18" spans="1:21" x14ac:dyDescent="0.3">
      <c r="A18" s="76">
        <f t="shared" si="0"/>
        <v>2018</v>
      </c>
      <c r="B18" s="46">
        <f>'3-Current'!B38</f>
        <v>4188563.4999999991</v>
      </c>
      <c r="C18" s="46">
        <f>'3-Current'!M38</f>
        <v>3970161.6555632455</v>
      </c>
      <c r="D18" s="46">
        <f t="shared" si="1"/>
        <v>198508.08277816229</v>
      </c>
      <c r="E18" s="52">
        <f t="shared" si="2"/>
        <v>4168669.7383414079</v>
      </c>
      <c r="F18" s="46">
        <f t="shared" si="3"/>
        <v>4188563.4999999991</v>
      </c>
      <c r="G18" s="46">
        <f>'4-Locked'!M19</f>
        <v>3997976.8550325669</v>
      </c>
      <c r="H18" s="46">
        <f t="shared" si="4"/>
        <v>199898.84275162837</v>
      </c>
      <c r="I18" s="52">
        <f t="shared" si="5"/>
        <v>4197875.6977841957</v>
      </c>
      <c r="J18" s="50">
        <f t="shared" si="6"/>
        <v>-29205.959442787804</v>
      </c>
      <c r="K18" s="33"/>
      <c r="L18" s="76">
        <f t="shared" si="7"/>
        <v>2018</v>
      </c>
      <c r="M18" s="46">
        <f>'3-Current'!P19</f>
        <v>2373970.9030805328</v>
      </c>
      <c r="N18" s="46">
        <f>'3-Current'!AA19</f>
        <v>2230132.3346109921</v>
      </c>
      <c r="O18" s="46">
        <f t="shared" si="8"/>
        <v>167259.92509582441</v>
      </c>
      <c r="P18" s="52">
        <f t="shared" si="9"/>
        <v>2397392.2597068166</v>
      </c>
      <c r="Q18" s="46">
        <f t="shared" si="10"/>
        <v>2373970.9030805328</v>
      </c>
      <c r="R18" s="46">
        <f>'4-Locked'!AA19</f>
        <v>4116698.3649184057</v>
      </c>
      <c r="S18" s="46">
        <f t="shared" si="11"/>
        <v>308752.37736888044</v>
      </c>
      <c r="T18" s="52">
        <f t="shared" si="12"/>
        <v>4425450.7422872856</v>
      </c>
      <c r="U18" s="50">
        <f t="shared" si="13"/>
        <v>-2028058.482580469</v>
      </c>
    </row>
    <row r="19" spans="1:21" x14ac:dyDescent="0.3">
      <c r="A19" s="76">
        <f t="shared" si="0"/>
        <v>2019</v>
      </c>
      <c r="B19" s="46">
        <f>'3-Current'!B39</f>
        <v>4019062.4999999995</v>
      </c>
      <c r="C19" s="46">
        <f>'3-Current'!M39</f>
        <v>3757536.8190278709</v>
      </c>
      <c r="D19" s="46">
        <f t="shared" si="1"/>
        <v>187876.84095139356</v>
      </c>
      <c r="E19" s="52">
        <f t="shared" si="2"/>
        <v>3945413.6599792643</v>
      </c>
      <c r="F19" s="46">
        <f t="shared" si="3"/>
        <v>4019062.4999999995</v>
      </c>
      <c r="G19" s="46">
        <f>'4-Locked'!M20</f>
        <v>3783416.5716930926</v>
      </c>
      <c r="H19" s="46">
        <f t="shared" si="4"/>
        <v>189170.82858465464</v>
      </c>
      <c r="I19" s="52">
        <f t="shared" si="5"/>
        <v>3972587.4002777473</v>
      </c>
      <c r="J19" s="50">
        <f t="shared" si="6"/>
        <v>-27173.740298483055</v>
      </c>
      <c r="K19" s="33"/>
      <c r="L19" s="76">
        <f t="shared" si="7"/>
        <v>2019</v>
      </c>
      <c r="M19" s="46">
        <f>'3-Current'!P20</f>
        <v>6363876.1952190734</v>
      </c>
      <c r="N19" s="46">
        <f>'3-Current'!AA20</f>
        <v>5927160.179966527</v>
      </c>
      <c r="O19" s="46">
        <f t="shared" si="8"/>
        <v>444537.0134974895</v>
      </c>
      <c r="P19" s="52">
        <f t="shared" si="9"/>
        <v>6371697.1934640165</v>
      </c>
      <c r="Q19" s="46">
        <f t="shared" si="10"/>
        <v>6363876.1952190734</v>
      </c>
      <c r="R19" s="46">
        <f>'4-Locked'!AA20</f>
        <v>5300935.9430626165</v>
      </c>
      <c r="S19" s="46">
        <f t="shared" si="11"/>
        <v>397570.19572969625</v>
      </c>
      <c r="T19" s="52">
        <f t="shared" si="12"/>
        <v>5698506.1387923127</v>
      </c>
      <c r="U19" s="50">
        <f t="shared" si="13"/>
        <v>673191.05467170384</v>
      </c>
    </row>
    <row r="20" spans="1:21" x14ac:dyDescent="0.3">
      <c r="A20" s="76">
        <f t="shared" si="0"/>
        <v>2020</v>
      </c>
      <c r="B20" s="46">
        <f>'3-Current'!B40</f>
        <v>5133877.5</v>
      </c>
      <c r="C20" s="46">
        <f>'3-Current'!M40</f>
        <v>4777705.2082191296</v>
      </c>
      <c r="D20" s="46">
        <f t="shared" si="1"/>
        <v>238885.26041095649</v>
      </c>
      <c r="E20" s="52">
        <f t="shared" si="2"/>
        <v>5016590.4686300857</v>
      </c>
      <c r="F20" s="46">
        <f t="shared" si="3"/>
        <v>5133877.5</v>
      </c>
      <c r="G20" s="46">
        <f>'4-Locked'!M21</f>
        <v>4805983.6401097747</v>
      </c>
      <c r="H20" s="46">
        <f t="shared" si="4"/>
        <v>240299.18200548875</v>
      </c>
      <c r="I20" s="52">
        <f t="shared" si="5"/>
        <v>5046282.822115263</v>
      </c>
      <c r="J20" s="50">
        <f t="shared" si="6"/>
        <v>-29692.353485177271</v>
      </c>
      <c r="K20" s="33"/>
      <c r="L20" s="76">
        <f t="shared" si="7"/>
        <v>2020</v>
      </c>
      <c r="M20" s="46">
        <f>'3-Current'!P21</f>
        <v>4946082.366368155</v>
      </c>
      <c r="N20" s="46">
        <f>'3-Current'!AA21</f>
        <v>4585786.418087068</v>
      </c>
      <c r="O20" s="46">
        <f t="shared" si="8"/>
        <v>343933.9813565301</v>
      </c>
      <c r="P20" s="52">
        <f t="shared" si="9"/>
        <v>4929720.3994435985</v>
      </c>
      <c r="Q20" s="46">
        <f t="shared" si="10"/>
        <v>4946082.366368155</v>
      </c>
      <c r="R20" s="46">
        <f>'4-Locked'!AA21</f>
        <v>5837527.1660991395</v>
      </c>
      <c r="S20" s="46">
        <f t="shared" si="11"/>
        <v>437814.53745743545</v>
      </c>
      <c r="T20" s="52">
        <f t="shared" si="12"/>
        <v>6275341.7035565749</v>
      </c>
      <c r="U20" s="50">
        <f t="shared" si="13"/>
        <v>-1345621.3041129764</v>
      </c>
    </row>
    <row r="21" spans="1:21" x14ac:dyDescent="0.3">
      <c r="A21" s="76">
        <f t="shared" si="0"/>
        <v>2021</v>
      </c>
      <c r="B21" s="46">
        <f>'3-Current'!B41</f>
        <v>5661815.9999999991</v>
      </c>
      <c r="C21" s="46">
        <f>'3-Current'!M41</f>
        <v>5244578.2010433143</v>
      </c>
      <c r="D21" s="46">
        <f t="shared" si="1"/>
        <v>262228.91005216574</v>
      </c>
      <c r="E21" s="52">
        <f t="shared" si="2"/>
        <v>5506807.1110954797</v>
      </c>
      <c r="F21" s="46">
        <f t="shared" si="3"/>
        <v>5661815.9999999991</v>
      </c>
      <c r="G21" s="46">
        <f>'4-Locked'!M22</f>
        <v>5270667.7552689891</v>
      </c>
      <c r="H21" s="46">
        <f t="shared" si="4"/>
        <v>263533.38776344946</v>
      </c>
      <c r="I21" s="52">
        <f t="shared" si="5"/>
        <v>5534201.1430324391</v>
      </c>
      <c r="J21" s="50">
        <f t="shared" si="6"/>
        <v>-27394.031936959364</v>
      </c>
      <c r="K21" s="33"/>
      <c r="L21" s="76">
        <f t="shared" si="7"/>
        <v>2021</v>
      </c>
      <c r="M21" s="46">
        <f>'3-Current'!P22</f>
        <v>7579438.2195123304</v>
      </c>
      <c r="N21" s="46">
        <f>'3-Current'!AA22</f>
        <v>7000669.7979343142</v>
      </c>
      <c r="O21" s="46">
        <f t="shared" si="8"/>
        <v>525050.23484507354</v>
      </c>
      <c r="P21" s="52">
        <f t="shared" si="9"/>
        <v>7525720.0327793881</v>
      </c>
      <c r="Q21" s="46">
        <f t="shared" si="10"/>
        <v>7579438.2195123304</v>
      </c>
      <c r="R21" s="46">
        <f>'4-Locked'!AA22</f>
        <v>3522931.3229892156</v>
      </c>
      <c r="S21" s="46">
        <f t="shared" si="11"/>
        <v>264219.84922419116</v>
      </c>
      <c r="T21" s="52">
        <f t="shared" si="12"/>
        <v>3787151.1722134068</v>
      </c>
      <c r="U21" s="50">
        <f t="shared" si="13"/>
        <v>3738568.8605659814</v>
      </c>
    </row>
    <row r="22" spans="1:21" x14ac:dyDescent="0.3">
      <c r="A22" s="76">
        <f>YEAR(ValDate)</f>
        <v>2022</v>
      </c>
      <c r="B22" s="46">
        <f>'3-Current'!B42</f>
        <v>3326100.4999999995</v>
      </c>
      <c r="C22" s="46">
        <f>'3-Current'!M42</f>
        <v>3076219.9197664289</v>
      </c>
      <c r="D22" s="46">
        <f t="shared" si="1"/>
        <v>153810.99598832146</v>
      </c>
      <c r="E22" s="97">
        <f t="shared" si="2"/>
        <v>3230030.9157547504</v>
      </c>
      <c r="F22" s="46">
        <f t="shared" si="3"/>
        <v>3326100.4999999995</v>
      </c>
      <c r="G22" s="46">
        <f>'4-Locked'!M23</f>
        <v>3087760.8793083932</v>
      </c>
      <c r="H22" s="46">
        <f t="shared" si="4"/>
        <v>154388.04396541967</v>
      </c>
      <c r="I22" s="97">
        <f t="shared" si="5"/>
        <v>3242148.923273813</v>
      </c>
      <c r="J22" s="98">
        <f t="shared" si="6"/>
        <v>-12118.007519062608</v>
      </c>
      <c r="K22" s="33"/>
      <c r="L22" s="76">
        <f>$A$22</f>
        <v>2022</v>
      </c>
      <c r="M22" s="46">
        <f>'3-Current'!P23</f>
        <v>0</v>
      </c>
      <c r="N22" s="46">
        <f>'3-Current'!AA23</f>
        <v>0</v>
      </c>
      <c r="O22" s="46">
        <f t="shared" si="8"/>
        <v>0</v>
      </c>
      <c r="P22" s="97">
        <f t="shared" si="9"/>
        <v>0</v>
      </c>
      <c r="Q22" s="46">
        <f t="shared" si="10"/>
        <v>0</v>
      </c>
      <c r="R22" s="46">
        <f>'4-Locked'!AA23</f>
        <v>0</v>
      </c>
      <c r="S22" s="46">
        <f t="shared" si="11"/>
        <v>0</v>
      </c>
      <c r="T22" s="97">
        <f t="shared" si="12"/>
        <v>0</v>
      </c>
      <c r="U22" s="98">
        <f t="shared" si="13"/>
        <v>0</v>
      </c>
    </row>
    <row r="23" spans="1:21" x14ac:dyDescent="0.3">
      <c r="A23" s="32"/>
      <c r="B23" s="48">
        <f t="shared" ref="B23:J23" si="14">SUM(B12:B22)</f>
        <v>28337815.999999996</v>
      </c>
      <c r="C23" s="48">
        <f t="shared" si="14"/>
        <v>26592139.52354173</v>
      </c>
      <c r="D23" s="48">
        <f t="shared" si="14"/>
        <v>1329606.9761770866</v>
      </c>
      <c r="E23" s="48">
        <f t="shared" si="14"/>
        <v>27921746.499718815</v>
      </c>
      <c r="F23" s="48">
        <f t="shared" si="14"/>
        <v>28337815.999999996</v>
      </c>
      <c r="G23" s="48">
        <f t="shared" si="14"/>
        <v>26829895.743016474</v>
      </c>
      <c r="H23" s="48">
        <f t="shared" si="14"/>
        <v>1341494.7871508237</v>
      </c>
      <c r="I23" s="48">
        <f t="shared" si="14"/>
        <v>28171390.530167293</v>
      </c>
      <c r="J23" s="48">
        <f t="shared" si="14"/>
        <v>-249644.0304484808</v>
      </c>
      <c r="K23" s="33"/>
      <c r="L23" s="32"/>
      <c r="M23" s="48">
        <f t="shared" ref="M23:U23" si="15">SUM(M12:M22)</f>
        <v>30751750.979631685</v>
      </c>
      <c r="N23" s="48">
        <f t="shared" si="15"/>
        <v>28809891.444718041</v>
      </c>
      <c r="O23" s="48">
        <f t="shared" si="15"/>
        <v>2160741.8583538523</v>
      </c>
      <c r="P23" s="48">
        <f t="shared" si="15"/>
        <v>30970633.303071886</v>
      </c>
      <c r="Q23" s="48">
        <f t="shared" si="15"/>
        <v>30751750.979631685</v>
      </c>
      <c r="R23" s="48">
        <f t="shared" si="15"/>
        <v>29225246.057418264</v>
      </c>
      <c r="S23" s="48">
        <f t="shared" si="15"/>
        <v>2191893.4543063696</v>
      </c>
      <c r="T23" s="48">
        <f t="shared" si="15"/>
        <v>31417139.511724636</v>
      </c>
      <c r="U23" s="48">
        <f t="shared" si="15"/>
        <v>-446506.2086527464</v>
      </c>
    </row>
    <row r="24" spans="1:21" x14ac:dyDescent="0.3">
      <c r="K24" s="33"/>
    </row>
    <row r="25" spans="1:21" x14ac:dyDescent="0.3">
      <c r="K25" s="33"/>
    </row>
    <row r="27" spans="1:21" x14ac:dyDescent="0.3">
      <c r="A27" s="47" t="s">
        <v>13</v>
      </c>
      <c r="L27" s="47"/>
    </row>
    <row r="28" spans="1:21" x14ac:dyDescent="0.3">
      <c r="A28" s="92" t="s">
        <v>311</v>
      </c>
      <c r="L28" s="92"/>
    </row>
    <row r="29" spans="1:21" x14ac:dyDescent="0.3">
      <c r="A29" s="92" t="s">
        <v>312</v>
      </c>
      <c r="L29" s="92"/>
    </row>
    <row r="30" spans="1:21" x14ac:dyDescent="0.3">
      <c r="A30" s="92" t="s">
        <v>313</v>
      </c>
      <c r="L30" s="92"/>
    </row>
    <row r="31" spans="1:21" x14ac:dyDescent="0.3">
      <c r="A31" s="92" t="s">
        <v>127</v>
      </c>
      <c r="L31" s="92"/>
    </row>
    <row r="32" spans="1:21" x14ac:dyDescent="0.3">
      <c r="A32" s="92" t="s">
        <v>146</v>
      </c>
      <c r="L32" s="92"/>
    </row>
    <row r="33" spans="1:12" x14ac:dyDescent="0.3">
      <c r="A33" s="92" t="s">
        <v>314</v>
      </c>
      <c r="L33" s="92"/>
    </row>
    <row r="34" spans="1:12" x14ac:dyDescent="0.3">
      <c r="A34" s="92" t="s">
        <v>315</v>
      </c>
      <c r="L34" s="92"/>
    </row>
    <row r="35" spans="1:12" x14ac:dyDescent="0.3">
      <c r="A35" s="92" t="s">
        <v>147</v>
      </c>
      <c r="L35" s="92"/>
    </row>
    <row r="36" spans="1:12" x14ac:dyDescent="0.3">
      <c r="A36" s="92" t="s">
        <v>148</v>
      </c>
      <c r="L36" s="92"/>
    </row>
  </sheetData>
  <sheetProtection sheet="1" objects="1" scenarios="1"/>
  <printOptions horizontalCentered="1"/>
  <pageMargins left="0.70866141732283472" right="0.70866141732283472" top="0.74803149606299213" bottom="0.74803149606299213" header="0.31496062992125984" footer="0.31496062992125984"/>
  <pageSetup scale="75" orientation="landscape" blackAndWhite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81068-8D71-45AA-BF8B-C3801B63EF73}">
  <dimension ref="A1:X75"/>
  <sheetViews>
    <sheetView view="pageBreakPreview" topLeftCell="F1" zoomScale="80" zoomScaleNormal="80" zoomScaleSheetLayoutView="80" workbookViewId="0">
      <selection activeCell="X11" sqref="X11"/>
    </sheetView>
  </sheetViews>
  <sheetFormatPr defaultColWidth="9.21875" defaultRowHeight="14.4" x14ac:dyDescent="0.3"/>
  <cols>
    <col min="1" max="1" width="10.77734375" style="34" customWidth="1"/>
    <col min="2" max="6" width="16.44140625" style="34" customWidth="1"/>
    <col min="7" max="7" width="17.77734375" style="34" customWidth="1"/>
    <col min="8" max="14" width="16.44140625" style="34" customWidth="1"/>
    <col min="15" max="15" width="12.21875" style="34" customWidth="1"/>
    <col min="16" max="17" width="9.21875" style="34"/>
    <col min="18" max="19" width="9.77734375" style="34" customWidth="1"/>
    <col min="20" max="21" width="9.21875" style="34"/>
    <col min="22" max="22" width="8.77734375" style="34" bestFit="1" customWidth="1"/>
    <col min="23" max="24" width="11.21875" style="34" bestFit="1" customWidth="1"/>
    <col min="25" max="25" width="9.5546875" style="34" bestFit="1" customWidth="1"/>
    <col min="26" max="26" width="10" style="34" customWidth="1"/>
    <col min="27" max="27" width="9.77734375" style="34" bestFit="1" customWidth="1"/>
    <col min="28" max="16384" width="9.21875" style="34"/>
  </cols>
  <sheetData>
    <row r="1" spans="1:24" x14ac:dyDescent="0.3">
      <c r="A1" s="80" t="s">
        <v>290</v>
      </c>
      <c r="B1" s="80"/>
      <c r="C1" s="80"/>
      <c r="D1" s="80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spans="1:24" x14ac:dyDescent="0.3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spans="1:24" x14ac:dyDescent="0.3">
      <c r="A3" s="80" t="str">
        <f>CompanyName</f>
        <v>Company ABC</v>
      </c>
      <c r="B3" s="80"/>
      <c r="C3" s="80"/>
      <c r="D3" s="80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spans="1:24" x14ac:dyDescent="0.3">
      <c r="A4" s="81" t="s">
        <v>289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U4" s="34">
        <v>1</v>
      </c>
      <c r="V4" s="120" t="s">
        <v>358</v>
      </c>
    </row>
    <row r="5" spans="1:24" x14ac:dyDescent="0.3">
      <c r="A5" s="81" t="str">
        <f>"As at "&amp;TEXT(ValDate,"mmmm dd, yyyy")</f>
        <v>As at December 31, 2022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R5" s="34" t="s">
        <v>288</v>
      </c>
      <c r="U5" s="34">
        <v>2</v>
      </c>
      <c r="V5" s="120" t="s">
        <v>359</v>
      </c>
    </row>
    <row r="6" spans="1:24" x14ac:dyDescent="0.3">
      <c r="R6" s="121">
        <v>1</v>
      </c>
      <c r="U6" s="34">
        <v>3</v>
      </c>
      <c r="V6" s="120" t="s">
        <v>360</v>
      </c>
    </row>
    <row r="8" spans="1:24" x14ac:dyDescent="0.3">
      <c r="A8" s="122">
        <v>-1</v>
      </c>
      <c r="B8" s="122">
        <f t="shared" ref="B8:C8" si="0">A8-1</f>
        <v>-2</v>
      </c>
      <c r="C8" s="122">
        <f t="shared" si="0"/>
        <v>-3</v>
      </c>
      <c r="D8" s="122">
        <f t="shared" ref="D8" si="1">C8-1</f>
        <v>-4</v>
      </c>
      <c r="E8" s="122">
        <f t="shared" ref="E8" si="2">D8-1</f>
        <v>-5</v>
      </c>
      <c r="F8" s="122">
        <f t="shared" ref="F8" si="3">E8-1</f>
        <v>-6</v>
      </c>
      <c r="G8" s="122">
        <f t="shared" ref="G8:H8" si="4">F8-1</f>
        <v>-7</v>
      </c>
      <c r="H8" s="122">
        <f t="shared" si="4"/>
        <v>-8</v>
      </c>
      <c r="I8" s="122">
        <f t="shared" ref="I8:O8" si="5">H8-1</f>
        <v>-9</v>
      </c>
      <c r="J8" s="122">
        <f t="shared" si="5"/>
        <v>-10</v>
      </c>
      <c r="K8" s="122">
        <f t="shared" si="5"/>
        <v>-11</v>
      </c>
      <c r="L8" s="122">
        <f t="shared" si="5"/>
        <v>-12</v>
      </c>
      <c r="M8" s="122">
        <f t="shared" si="5"/>
        <v>-13</v>
      </c>
      <c r="N8" s="122">
        <f t="shared" si="5"/>
        <v>-14</v>
      </c>
      <c r="O8" s="122">
        <f t="shared" si="5"/>
        <v>-15</v>
      </c>
      <c r="R8" s="34" t="s">
        <v>296</v>
      </c>
    </row>
    <row r="9" spans="1:24" x14ac:dyDescent="0.3">
      <c r="B9" s="123" t="s">
        <v>306</v>
      </c>
      <c r="C9" s="123"/>
      <c r="D9" s="123" t="s">
        <v>293</v>
      </c>
      <c r="E9" s="123"/>
      <c r="F9" s="123" t="s">
        <v>346</v>
      </c>
      <c r="G9" s="123"/>
      <c r="H9" s="123" t="s">
        <v>287</v>
      </c>
      <c r="I9" s="123"/>
      <c r="J9" s="123"/>
      <c r="K9" s="123"/>
      <c r="L9" s="123"/>
      <c r="M9" s="123"/>
      <c r="N9" s="123"/>
      <c r="O9" s="123"/>
      <c r="R9" s="34" t="s">
        <v>297</v>
      </c>
      <c r="U9" s="73" t="s">
        <v>92</v>
      </c>
      <c r="X9" s="120"/>
    </row>
    <row r="10" spans="1:24" x14ac:dyDescent="0.3">
      <c r="A10" s="138" t="s">
        <v>78</v>
      </c>
      <c r="B10" s="41"/>
      <c r="C10" s="41"/>
      <c r="D10" s="108"/>
      <c r="E10" s="41"/>
      <c r="F10" s="108"/>
      <c r="G10" s="107"/>
      <c r="H10" s="41" t="s">
        <v>283</v>
      </c>
      <c r="I10" s="41" t="s">
        <v>283</v>
      </c>
      <c r="J10" s="41" t="s">
        <v>283</v>
      </c>
      <c r="K10" s="41" t="s">
        <v>28</v>
      </c>
      <c r="L10" s="41" t="s">
        <v>285</v>
      </c>
      <c r="M10" s="41" t="s">
        <v>285</v>
      </c>
      <c r="N10" s="41" t="s">
        <v>284</v>
      </c>
      <c r="O10" s="107" t="s">
        <v>284</v>
      </c>
      <c r="P10" s="73"/>
      <c r="R10" s="121" t="s">
        <v>294</v>
      </c>
      <c r="U10" s="73" t="s">
        <v>294</v>
      </c>
      <c r="X10" s="120"/>
    </row>
    <row r="11" spans="1:24" x14ac:dyDescent="0.3">
      <c r="A11" s="139" t="s">
        <v>71</v>
      </c>
      <c r="B11" s="23" t="s">
        <v>283</v>
      </c>
      <c r="C11" s="23" t="s">
        <v>284</v>
      </c>
      <c r="D11" s="109" t="s">
        <v>283</v>
      </c>
      <c r="E11" s="23" t="s">
        <v>284</v>
      </c>
      <c r="F11" s="109" t="s">
        <v>283</v>
      </c>
      <c r="G11" s="37" t="s">
        <v>284</v>
      </c>
      <c r="H11" s="23" t="s">
        <v>77</v>
      </c>
      <c r="I11" s="23" t="s">
        <v>77</v>
      </c>
      <c r="J11" s="23" t="s">
        <v>282</v>
      </c>
      <c r="K11" s="23" t="s">
        <v>73</v>
      </c>
      <c r="L11" s="23" t="s">
        <v>77</v>
      </c>
      <c r="M11" s="23" t="s">
        <v>77</v>
      </c>
      <c r="N11" s="23" t="s">
        <v>77</v>
      </c>
      <c r="O11" s="37" t="s">
        <v>77</v>
      </c>
      <c r="P11" s="73"/>
      <c r="X11" s="120"/>
    </row>
    <row r="12" spans="1:24" x14ac:dyDescent="0.3">
      <c r="A12" s="140" t="s">
        <v>72</v>
      </c>
      <c r="B12" s="25" t="s">
        <v>72</v>
      </c>
      <c r="C12" s="25" t="s">
        <v>72</v>
      </c>
      <c r="D12" s="124" t="s">
        <v>72</v>
      </c>
      <c r="E12" s="25" t="s">
        <v>72</v>
      </c>
      <c r="F12" s="124" t="s">
        <v>72</v>
      </c>
      <c r="G12" s="42" t="s">
        <v>72</v>
      </c>
      <c r="H12" s="25" t="s">
        <v>280</v>
      </c>
      <c r="I12" s="25" t="s">
        <v>279</v>
      </c>
      <c r="J12" s="25" t="s">
        <v>281</v>
      </c>
      <c r="K12" s="25" t="s">
        <v>281</v>
      </c>
      <c r="L12" s="25" t="s">
        <v>280</v>
      </c>
      <c r="M12" s="25" t="s">
        <v>279</v>
      </c>
      <c r="N12" s="25" t="s">
        <v>280</v>
      </c>
      <c r="O12" s="42" t="s">
        <v>279</v>
      </c>
      <c r="P12" s="73"/>
    </row>
    <row r="13" spans="1:24" x14ac:dyDescent="0.3">
      <c r="A13" s="139"/>
      <c r="B13" s="23"/>
      <c r="C13" s="116"/>
      <c r="D13" s="109"/>
      <c r="E13" s="23"/>
      <c r="F13" s="109"/>
      <c r="G13" s="112"/>
      <c r="H13" s="23"/>
      <c r="I13" s="43">
        <f>(1+H13)^-A13</f>
        <v>1</v>
      </c>
      <c r="J13" s="23"/>
      <c r="K13" s="23"/>
      <c r="L13" s="23"/>
      <c r="M13" s="43">
        <f t="shared" ref="M13:M22" si="6">(1+L13)^-$A13</f>
        <v>1</v>
      </c>
      <c r="N13" s="23"/>
      <c r="O13" s="119">
        <f t="shared" ref="O13:O23" si="7">(1+N13)^-$A13</f>
        <v>1</v>
      </c>
      <c r="P13" s="73"/>
      <c r="R13" s="34" t="s">
        <v>286</v>
      </c>
      <c r="U13" s="31">
        <f>((1+H14)^0.5*(1+H15)^0.5)-1</f>
        <v>2.4902023184460331E-2</v>
      </c>
    </row>
    <row r="14" spans="1:24" x14ac:dyDescent="0.3">
      <c r="A14" s="139">
        <v>0.5</v>
      </c>
      <c r="B14" s="111">
        <f t="array" ref="B14:B23">TRANSPOSE('3-Current'!Q24:Z24)</f>
        <v>9091644.5047224388</v>
      </c>
      <c r="C14" s="111">
        <f t="array" ref="C14:C23">TRANSPOSE('3-Current'!C24:L24)</f>
        <v>8468112.9863636345</v>
      </c>
      <c r="D14" s="110">
        <f t="shared" ref="D14:D23" si="8">0.075*B14</f>
        <v>681873.33785418293</v>
      </c>
      <c r="E14" s="111">
        <f t="shared" ref="E14:E23" si="9">0.05*C14</f>
        <v>423405.64931818173</v>
      </c>
      <c r="F14" s="110">
        <f t="shared" ref="F14:F23" si="10">B14+D14</f>
        <v>9773517.8425766211</v>
      </c>
      <c r="G14" s="112">
        <f t="shared" ref="G14:G23" si="11">C14+E14</f>
        <v>8891518.6356818154</v>
      </c>
      <c r="H14" s="72">
        <v>2.4392299999999999E-2</v>
      </c>
      <c r="I14" s="43">
        <f>(1+H14)^-A14</f>
        <v>0.98802252850867101</v>
      </c>
      <c r="J14" s="125">
        <f>(1+H14)^A14-1</f>
        <v>1.2122670430812832E-2</v>
      </c>
      <c r="K14" s="125">
        <f>J14</f>
        <v>1.2122670430812832E-2</v>
      </c>
      <c r="L14" s="125">
        <f>IF(Method=1,H14,IF(Method=2,H15,IF(Method=3,(((1+$H$15)^A15)/(1+$U$13))^(1/A14)-1,"n/a")))</f>
        <v>2.4392299999999999E-2</v>
      </c>
      <c r="M14" s="43">
        <f t="shared" si="6"/>
        <v>0.98802252850867101</v>
      </c>
      <c r="N14" s="72">
        <f>'2-Current Curve'!AJ13</f>
        <v>2.3892299999999998E-2</v>
      </c>
      <c r="O14" s="119">
        <f t="shared" si="7"/>
        <v>0.98826374087471902</v>
      </c>
      <c r="P14" s="26"/>
    </row>
    <row r="15" spans="1:24" x14ac:dyDescent="0.3">
      <c r="A15" s="139">
        <f t="shared" ref="A15:A23" si="12">+A14+1</f>
        <v>1.5</v>
      </c>
      <c r="B15" s="111">
        <v>6662388.8669343246</v>
      </c>
      <c r="C15" s="111">
        <v>6158357.7075757561</v>
      </c>
      <c r="D15" s="110">
        <f t="shared" si="8"/>
        <v>499679.16502007435</v>
      </c>
      <c r="E15" s="111">
        <f t="shared" si="9"/>
        <v>307917.88537878782</v>
      </c>
      <c r="F15" s="110">
        <f t="shared" si="10"/>
        <v>7162068.0319543993</v>
      </c>
      <c r="G15" s="112">
        <f t="shared" si="11"/>
        <v>6466275.5929545444</v>
      </c>
      <c r="H15" s="72">
        <v>2.5412000000000001E-2</v>
      </c>
      <c r="I15" s="43">
        <f t="shared" ref="I15:I23" si="13">(1+H15)^-A15</f>
        <v>0.96305791907541549</v>
      </c>
      <c r="J15" s="125">
        <f t="shared" ref="J15:J23" si="14">(1+H15)^A15/(1+H14)^A14-1</f>
        <v>2.5922230572822391E-2</v>
      </c>
      <c r="K15" s="125">
        <f t="shared" ref="K15:K23" si="15">IF(Method=1,J15,IF(Method=2,H15,IF(Method=3,$U$13,"n/a")))</f>
        <v>2.5922230572822391E-2</v>
      </c>
      <c r="L15" s="125">
        <f t="shared" ref="L15:L22" si="16">IF(Method=1,H15,IF(Method=2,H16,IF(Method=3,((1+L14)^A14*(1+J16))^(1/A15)-1,"n/a")))</f>
        <v>2.5412000000000001E-2</v>
      </c>
      <c r="M15" s="43">
        <f t="shared" si="6"/>
        <v>0.96305791907541549</v>
      </c>
      <c r="N15" s="72">
        <f>'2-Current Curve'!AJ14</f>
        <v>2.4912E-2</v>
      </c>
      <c r="O15" s="119">
        <f t="shared" si="7"/>
        <v>0.96376274204975276</v>
      </c>
      <c r="P15" s="26"/>
    </row>
    <row r="16" spans="1:24" x14ac:dyDescent="0.3">
      <c r="A16" s="139">
        <f t="shared" si="12"/>
        <v>2.5</v>
      </c>
      <c r="B16" s="111">
        <v>5124529.8212171569</v>
      </c>
      <c r="C16" s="111">
        <v>4708358.2848484833</v>
      </c>
      <c r="D16" s="110">
        <f t="shared" si="8"/>
        <v>384339.73659128678</v>
      </c>
      <c r="E16" s="111">
        <f t="shared" si="9"/>
        <v>235417.91424242419</v>
      </c>
      <c r="F16" s="110">
        <f t="shared" si="10"/>
        <v>5508869.5578084439</v>
      </c>
      <c r="G16" s="112">
        <f t="shared" si="11"/>
        <v>4943776.1990909074</v>
      </c>
      <c r="H16" s="72">
        <v>2.6591500000000001E-2</v>
      </c>
      <c r="I16" s="43">
        <f t="shared" si="13"/>
        <v>0.93649581265525506</v>
      </c>
      <c r="J16" s="125">
        <f t="shared" si="14"/>
        <v>2.8363294380194581E-2</v>
      </c>
      <c r="K16" s="125">
        <f t="shared" si="15"/>
        <v>2.8363294380194581E-2</v>
      </c>
      <c r="L16" s="125">
        <f t="shared" si="16"/>
        <v>2.6591500000000001E-2</v>
      </c>
      <c r="M16" s="43">
        <f t="shared" si="6"/>
        <v>0.93649581265525506</v>
      </c>
      <c r="N16" s="72">
        <f>'2-Current Curve'!AJ15</f>
        <v>2.60915E-2</v>
      </c>
      <c r="O16" s="119">
        <f t="shared" si="7"/>
        <v>0.93763708282512825</v>
      </c>
      <c r="P16" s="26"/>
    </row>
    <row r="17" spans="1:17" x14ac:dyDescent="0.3">
      <c r="A17" s="139">
        <f t="shared" si="12"/>
        <v>3.5</v>
      </c>
      <c r="B17" s="111">
        <v>3558876.2401928152</v>
      </c>
      <c r="C17" s="111">
        <v>3267771.5848484845</v>
      </c>
      <c r="D17" s="110">
        <f t="shared" si="8"/>
        <v>266915.7180144611</v>
      </c>
      <c r="E17" s="111">
        <f t="shared" si="9"/>
        <v>163388.57924242422</v>
      </c>
      <c r="F17" s="110">
        <f t="shared" si="10"/>
        <v>3825791.9582072762</v>
      </c>
      <c r="G17" s="112">
        <f t="shared" si="11"/>
        <v>3431160.1640909086</v>
      </c>
      <c r="H17" s="72">
        <v>2.8219599999999997E-2</v>
      </c>
      <c r="I17" s="43">
        <f t="shared" si="13"/>
        <v>0.90719244838057267</v>
      </c>
      <c r="J17" s="125">
        <f t="shared" si="14"/>
        <v>3.2301155424068639E-2</v>
      </c>
      <c r="K17" s="125">
        <f t="shared" si="15"/>
        <v>3.2301155424068639E-2</v>
      </c>
      <c r="L17" s="125">
        <f t="shared" si="16"/>
        <v>2.8219599999999997E-2</v>
      </c>
      <c r="M17" s="43">
        <f t="shared" si="6"/>
        <v>0.90719244838057267</v>
      </c>
      <c r="N17" s="72">
        <f>'2-Current Curve'!AJ16</f>
        <v>2.7719599999999997E-2</v>
      </c>
      <c r="O17" s="119">
        <f t="shared" si="7"/>
        <v>0.90873815452316931</v>
      </c>
    </row>
    <row r="18" spans="1:17" x14ac:dyDescent="0.3">
      <c r="A18" s="139">
        <f t="shared" si="12"/>
        <v>4.5</v>
      </c>
      <c r="B18" s="111">
        <v>2905820.7666940172</v>
      </c>
      <c r="C18" s="111">
        <v>2652400.2287878785</v>
      </c>
      <c r="D18" s="110">
        <f t="shared" si="8"/>
        <v>217936.55750205129</v>
      </c>
      <c r="E18" s="111">
        <f t="shared" si="9"/>
        <v>132620.01143939394</v>
      </c>
      <c r="F18" s="110">
        <f t="shared" si="10"/>
        <v>3123757.3241960686</v>
      </c>
      <c r="G18" s="112">
        <f t="shared" si="11"/>
        <v>2785020.2402272723</v>
      </c>
      <c r="H18" s="72">
        <v>2.8838700000000002E-2</v>
      </c>
      <c r="I18" s="43">
        <f t="shared" si="13"/>
        <v>0.87990783763458957</v>
      </c>
      <c r="J18" s="125">
        <f t="shared" si="14"/>
        <v>3.1008487001696672E-2</v>
      </c>
      <c r="K18" s="125">
        <f t="shared" si="15"/>
        <v>3.1008487001696672E-2</v>
      </c>
      <c r="L18" s="125">
        <f t="shared" si="16"/>
        <v>2.8838700000000002E-2</v>
      </c>
      <c r="M18" s="43">
        <f t="shared" si="6"/>
        <v>0.87990783763458957</v>
      </c>
      <c r="N18" s="72">
        <f>'2-Current Curve'!AJ17</f>
        <v>2.8338700000000001E-2</v>
      </c>
      <c r="O18" s="119">
        <f t="shared" si="7"/>
        <v>0.88183471046075401</v>
      </c>
    </row>
    <row r="19" spans="1:17" x14ac:dyDescent="0.3">
      <c r="A19" s="139">
        <f t="shared" si="12"/>
        <v>5.5</v>
      </c>
      <c r="B19" s="111">
        <v>1550512.9035800726</v>
      </c>
      <c r="C19" s="111">
        <v>1421409.2787878788</v>
      </c>
      <c r="D19" s="110">
        <f t="shared" si="8"/>
        <v>116288.46776850543</v>
      </c>
      <c r="E19" s="111">
        <f t="shared" si="9"/>
        <v>71070.463939393943</v>
      </c>
      <c r="F19" s="110">
        <f t="shared" si="10"/>
        <v>1666801.371348578</v>
      </c>
      <c r="G19" s="112">
        <f t="shared" si="11"/>
        <v>1492479.7427272727</v>
      </c>
      <c r="H19" s="72">
        <v>2.9462799999999997E-2</v>
      </c>
      <c r="I19" s="43">
        <f t="shared" si="13"/>
        <v>0.85239595829365722</v>
      </c>
      <c r="J19" s="125">
        <f t="shared" si="14"/>
        <v>3.2275938281084882E-2</v>
      </c>
      <c r="K19" s="125">
        <f t="shared" si="15"/>
        <v>3.2275938281084882E-2</v>
      </c>
      <c r="L19" s="125">
        <f t="shared" si="16"/>
        <v>2.9462799999999997E-2</v>
      </c>
      <c r="M19" s="43">
        <f t="shared" si="6"/>
        <v>0.85239595829365722</v>
      </c>
      <c r="N19" s="72">
        <f>'2-Current Curve'!AJ18</f>
        <v>2.8962799999999997E-2</v>
      </c>
      <c r="O19" s="119">
        <f t="shared" si="7"/>
        <v>0.85467655892443017</v>
      </c>
    </row>
    <row r="20" spans="1:17" x14ac:dyDescent="0.3">
      <c r="A20" s="139">
        <f t="shared" si="12"/>
        <v>6.5</v>
      </c>
      <c r="B20" s="111">
        <v>1127860.0692460211</v>
      </c>
      <c r="C20" s="111">
        <v>1005588.0893939394</v>
      </c>
      <c r="D20" s="110">
        <f t="shared" si="8"/>
        <v>84589.50519345158</v>
      </c>
      <c r="E20" s="111">
        <f t="shared" si="9"/>
        <v>50279.404469696972</v>
      </c>
      <c r="F20" s="110">
        <f t="shared" si="10"/>
        <v>1212449.5744394728</v>
      </c>
      <c r="G20" s="112">
        <f t="shared" si="11"/>
        <v>1055867.4938636364</v>
      </c>
      <c r="H20" s="72">
        <v>3.0102400000000001E-2</v>
      </c>
      <c r="I20" s="43">
        <f t="shared" si="13"/>
        <v>0.82466470285388283</v>
      </c>
      <c r="J20" s="125">
        <f t="shared" si="14"/>
        <v>3.362730979488493E-2</v>
      </c>
      <c r="K20" s="125">
        <f t="shared" si="15"/>
        <v>3.362730979488493E-2</v>
      </c>
      <c r="L20" s="125">
        <f t="shared" si="16"/>
        <v>3.0102400000000001E-2</v>
      </c>
      <c r="M20" s="43">
        <f t="shared" si="6"/>
        <v>0.82466470285388283</v>
      </c>
      <c r="N20" s="72">
        <f>'2-Current Curve'!AJ19</f>
        <v>2.9602400000000001E-2</v>
      </c>
      <c r="O20" s="119">
        <f t="shared" si="7"/>
        <v>0.82727128395566785</v>
      </c>
    </row>
    <row r="21" spans="1:17" x14ac:dyDescent="0.3">
      <c r="A21" s="139">
        <f t="shared" si="12"/>
        <v>7.5</v>
      </c>
      <c r="B21" s="111">
        <v>477469.86639441806</v>
      </c>
      <c r="C21" s="111">
        <v>434077.80606060603</v>
      </c>
      <c r="D21" s="110">
        <f t="shared" si="8"/>
        <v>35810.239979581354</v>
      </c>
      <c r="E21" s="111">
        <f t="shared" si="9"/>
        <v>21703.890303030304</v>
      </c>
      <c r="F21" s="110">
        <f t="shared" si="10"/>
        <v>513280.10637399938</v>
      </c>
      <c r="G21" s="112">
        <f t="shared" si="11"/>
        <v>455781.69636363635</v>
      </c>
      <c r="H21" s="72">
        <v>3.0765299999999999E-2</v>
      </c>
      <c r="I21" s="43">
        <f t="shared" si="13"/>
        <v>0.79671239848659492</v>
      </c>
      <c r="J21" s="125">
        <f t="shared" si="14"/>
        <v>3.5084560526966957E-2</v>
      </c>
      <c r="K21" s="125">
        <f t="shared" si="15"/>
        <v>3.5084560526966957E-2</v>
      </c>
      <c r="L21" s="125">
        <f t="shared" si="16"/>
        <v>3.0765299999999999E-2</v>
      </c>
      <c r="M21" s="43">
        <f t="shared" si="6"/>
        <v>0.79671239848659492</v>
      </c>
      <c r="N21" s="72">
        <f>'2-Current Curve'!AJ20</f>
        <v>3.0265299999999998E-2</v>
      </c>
      <c r="O21" s="119">
        <f t="shared" si="7"/>
        <v>0.79961688147267151</v>
      </c>
    </row>
    <row r="22" spans="1:17" x14ac:dyDescent="0.3">
      <c r="A22" s="139">
        <f t="shared" si="12"/>
        <v>8.5</v>
      </c>
      <c r="B22" s="111">
        <v>252647.94065041101</v>
      </c>
      <c r="C22" s="111">
        <v>221740.03333333333</v>
      </c>
      <c r="D22" s="110">
        <f t="shared" si="8"/>
        <v>18948.595548780824</v>
      </c>
      <c r="E22" s="111">
        <f t="shared" si="9"/>
        <v>11087.001666666667</v>
      </c>
      <c r="F22" s="110">
        <f t="shared" si="10"/>
        <v>271596.53619919182</v>
      </c>
      <c r="G22" s="112">
        <f t="shared" si="11"/>
        <v>232827.035</v>
      </c>
      <c r="H22" s="72">
        <v>3.1455999999999998E-2</v>
      </c>
      <c r="I22" s="43">
        <f t="shared" si="13"/>
        <v>0.76854445709551256</v>
      </c>
      <c r="J22" s="125">
        <f t="shared" si="14"/>
        <v>3.6651024063766968E-2</v>
      </c>
      <c r="K22" s="125">
        <f t="shared" si="15"/>
        <v>3.6651024063766968E-2</v>
      </c>
      <c r="L22" s="125">
        <f t="shared" si="16"/>
        <v>3.1455999999999998E-2</v>
      </c>
      <c r="M22" s="43">
        <f t="shared" si="6"/>
        <v>0.76854445709551256</v>
      </c>
      <c r="N22" s="72">
        <f>'2-Current Curve'!AJ21</f>
        <v>3.0956000000000001E-2</v>
      </c>
      <c r="O22" s="119">
        <f t="shared" si="7"/>
        <v>0.77171846319786686</v>
      </c>
    </row>
    <row r="23" spans="1:17" x14ac:dyDescent="0.3">
      <c r="A23" s="140">
        <f t="shared" si="12"/>
        <v>9.5</v>
      </c>
      <c r="B23" s="113">
        <v>0</v>
      </c>
      <c r="C23" s="113">
        <v>0</v>
      </c>
      <c r="D23" s="115">
        <f t="shared" si="8"/>
        <v>0</v>
      </c>
      <c r="E23" s="113">
        <f t="shared" si="9"/>
        <v>0</v>
      </c>
      <c r="F23" s="115">
        <f t="shared" si="10"/>
        <v>0</v>
      </c>
      <c r="G23" s="114">
        <f t="shared" si="11"/>
        <v>0</v>
      </c>
      <c r="H23" s="79">
        <v>3.2175099999999998E-2</v>
      </c>
      <c r="I23" s="126">
        <f t="shared" si="13"/>
        <v>0.74018948075131163</v>
      </c>
      <c r="J23" s="78">
        <f t="shared" si="14"/>
        <v>3.8307726712651924E-2</v>
      </c>
      <c r="K23" s="78">
        <f t="shared" si="15"/>
        <v>3.8307726712651924E-2</v>
      </c>
      <c r="L23" s="78"/>
      <c r="M23" s="126"/>
      <c r="N23" s="79">
        <f>'2-Current Curve'!AJ22</f>
        <v>3.1675099999999998E-2</v>
      </c>
      <c r="O23" s="127">
        <f t="shared" si="7"/>
        <v>0.7436044616058467</v>
      </c>
    </row>
    <row r="24" spans="1:17" x14ac:dyDescent="0.3">
      <c r="A24" s="33"/>
      <c r="B24" s="111">
        <f t="shared" ref="B24:G24" si="17">SUM(B14:B23)</f>
        <v>30751750.979631677</v>
      </c>
      <c r="C24" s="111">
        <f t="shared" si="17"/>
        <v>28337815.999999996</v>
      </c>
      <c r="D24" s="111">
        <f t="shared" si="17"/>
        <v>2306381.3234723751</v>
      </c>
      <c r="E24" s="111">
        <f t="shared" si="17"/>
        <v>1416890.7999999998</v>
      </c>
      <c r="F24" s="111">
        <f t="shared" si="17"/>
        <v>33058132.303104054</v>
      </c>
      <c r="G24" s="111">
        <f t="shared" si="17"/>
        <v>29754706.79999999</v>
      </c>
    </row>
    <row r="25" spans="1:17" x14ac:dyDescent="0.3">
      <c r="P25" s="35"/>
      <c r="Q25" s="35"/>
    </row>
    <row r="28" spans="1:17" x14ac:dyDescent="0.3">
      <c r="A28" s="122">
        <f>O8-1</f>
        <v>-16</v>
      </c>
      <c r="B28" s="122">
        <f t="shared" ref="B28:H28" si="18">A28-1</f>
        <v>-17</v>
      </c>
      <c r="C28" s="122">
        <f>B28-1</f>
        <v>-18</v>
      </c>
      <c r="D28" s="122">
        <f>C28-1</f>
        <v>-19</v>
      </c>
      <c r="E28" s="122">
        <f>D28-1</f>
        <v>-20</v>
      </c>
      <c r="F28" s="122">
        <f t="shared" si="18"/>
        <v>-21</v>
      </c>
      <c r="G28" s="122">
        <f t="shared" si="18"/>
        <v>-22</v>
      </c>
      <c r="H28" s="122">
        <f t="shared" si="18"/>
        <v>-23</v>
      </c>
      <c r="I28" s="122">
        <f t="shared" ref="I28" si="19">H28-1</f>
        <v>-24</v>
      </c>
      <c r="J28" s="122">
        <f t="shared" ref="J28" si="20">I28-1</f>
        <v>-25</v>
      </c>
      <c r="K28" s="122">
        <f t="shared" ref="K28" si="21">J28-1</f>
        <v>-26</v>
      </c>
      <c r="L28" s="122">
        <f t="shared" ref="L28" si="22">K28-1</f>
        <v>-27</v>
      </c>
      <c r="M28" s="122">
        <f t="shared" ref="M28" si="23">L28-1</f>
        <v>-28</v>
      </c>
    </row>
    <row r="29" spans="1:17" x14ac:dyDescent="0.3">
      <c r="A29" s="122"/>
      <c r="B29" s="128" t="s">
        <v>347</v>
      </c>
      <c r="C29" s="128"/>
      <c r="D29" s="128"/>
      <c r="E29" s="128"/>
      <c r="F29" s="128" t="s">
        <v>289</v>
      </c>
      <c r="G29" s="128"/>
      <c r="H29" s="128"/>
      <c r="I29" s="128"/>
      <c r="J29" s="128"/>
      <c r="K29" s="128"/>
      <c r="L29" s="128" t="s">
        <v>298</v>
      </c>
      <c r="M29" s="128"/>
    </row>
    <row r="30" spans="1:17" x14ac:dyDescent="0.3">
      <c r="A30" s="129"/>
      <c r="B30" s="41" t="str">
        <f>"Prior CFs"&amp;IF($R$10="Y"," + RA","")</f>
        <v>Prior CFs</v>
      </c>
      <c r="C30" s="41" t="str">
        <f>"Prior CFs"&amp;IF($R$10="Y"," + RA","")</f>
        <v>Prior CFs</v>
      </c>
      <c r="D30" s="41" t="str">
        <f>"Prior CFs"&amp;IF($R$10="Y"," + RA","")</f>
        <v>Prior CFs</v>
      </c>
      <c r="E30" s="107" t="str">
        <f>"Current CFs"&amp;IF($R$10="Y"," + RA","")</f>
        <v>Current CFs</v>
      </c>
      <c r="F30" s="108" t="s">
        <v>73</v>
      </c>
      <c r="G30" s="41" t="s">
        <v>73</v>
      </c>
      <c r="H30" s="41"/>
      <c r="I30" s="41" t="s">
        <v>277</v>
      </c>
      <c r="J30" s="41"/>
      <c r="K30" s="107"/>
      <c r="L30" s="108" t="s">
        <v>30</v>
      </c>
      <c r="M30" s="107" t="s">
        <v>30</v>
      </c>
    </row>
    <row r="31" spans="1:17" x14ac:dyDescent="0.3">
      <c r="A31" s="130"/>
      <c r="B31" s="23" t="s">
        <v>278</v>
      </c>
      <c r="C31" s="23" t="s">
        <v>278</v>
      </c>
      <c r="D31" s="23" t="s">
        <v>278</v>
      </c>
      <c r="E31" s="37" t="s">
        <v>278</v>
      </c>
      <c r="F31" s="109" t="s">
        <v>75</v>
      </c>
      <c r="G31" s="23" t="s">
        <v>75</v>
      </c>
      <c r="H31" s="23" t="s">
        <v>277</v>
      </c>
      <c r="I31" s="23" t="s">
        <v>66</v>
      </c>
      <c r="J31" s="23"/>
      <c r="K31" s="37" t="s">
        <v>277</v>
      </c>
      <c r="L31" s="109" t="s">
        <v>299</v>
      </c>
      <c r="M31" s="37" t="s">
        <v>299</v>
      </c>
    </row>
    <row r="32" spans="1:17" x14ac:dyDescent="0.3">
      <c r="A32" s="130" t="s">
        <v>70</v>
      </c>
      <c r="B32" s="23" t="s">
        <v>276</v>
      </c>
      <c r="C32" s="23" t="s">
        <v>275</v>
      </c>
      <c r="D32" s="23" t="s">
        <v>274</v>
      </c>
      <c r="E32" s="37" t="s">
        <v>274</v>
      </c>
      <c r="F32" s="109" t="s">
        <v>273</v>
      </c>
      <c r="G32" s="23" t="s">
        <v>272</v>
      </c>
      <c r="H32" s="23" t="s">
        <v>271</v>
      </c>
      <c r="I32" s="23" t="s">
        <v>307</v>
      </c>
      <c r="J32" s="23"/>
      <c r="K32" s="37" t="s">
        <v>68</v>
      </c>
      <c r="L32" s="109" t="s">
        <v>300</v>
      </c>
      <c r="M32" s="37" t="s">
        <v>301</v>
      </c>
    </row>
    <row r="33" spans="1:23" x14ac:dyDescent="0.3">
      <c r="A33" s="131" t="s">
        <v>10</v>
      </c>
      <c r="B33" s="25" t="s">
        <v>270</v>
      </c>
      <c r="C33" s="25" t="s">
        <v>269</v>
      </c>
      <c r="D33" s="25" t="s">
        <v>269</v>
      </c>
      <c r="E33" s="42" t="s">
        <v>269</v>
      </c>
      <c r="F33" s="109" t="s">
        <v>268</v>
      </c>
      <c r="G33" s="23" t="s">
        <v>268</v>
      </c>
      <c r="H33" s="23" t="s">
        <v>76</v>
      </c>
      <c r="I33" s="23" t="s">
        <v>76</v>
      </c>
      <c r="J33" s="7" t="s">
        <v>87</v>
      </c>
      <c r="K33" s="37" t="s">
        <v>43</v>
      </c>
      <c r="L33" s="124" t="s">
        <v>302</v>
      </c>
      <c r="M33" s="42" t="s">
        <v>302</v>
      </c>
    </row>
    <row r="34" spans="1:23" x14ac:dyDescent="0.3">
      <c r="A34" s="76">
        <f>YEAR(ValDate)</f>
        <v>2022</v>
      </c>
      <c r="B34" s="35">
        <f t="shared" ref="B34:B43" si="24">IF($R$10="Y",F14,B14)*I14</f>
        <v>8982749.5918578282</v>
      </c>
      <c r="C34" s="35">
        <f t="shared" ref="C34:C43" si="25">IF($R$10="Y",F14,B14)*M13</f>
        <v>9091644.5047224388</v>
      </c>
      <c r="D34" s="35">
        <f>IF($R$10="Y",F14,B14)*O13</f>
        <v>9091644.5047224388</v>
      </c>
      <c r="E34" s="144" t="s">
        <v>361</v>
      </c>
      <c r="F34" s="141">
        <f t="shared" ref="F34:F43" si="26">C34-B34</f>
        <v>108894.91286461055</v>
      </c>
      <c r="G34" s="118">
        <f t="shared" ref="G34:G43" si="27">B34*K14</f>
        <v>108894.91286461093</v>
      </c>
      <c r="H34" s="118">
        <f>D34-C34</f>
        <v>0</v>
      </c>
      <c r="I34" s="118">
        <f>IF(E34="n/a",0,E34)-D34</f>
        <v>-9091644.5047224388</v>
      </c>
      <c r="J34" s="142">
        <v>9223531</v>
      </c>
      <c r="K34" s="143">
        <f>IF($R$10="Y","n/a",-0.075*B34)</f>
        <v>-673706.21938933711</v>
      </c>
      <c r="L34" s="110">
        <f>I34+J34+IF($R$10="Y",0,K34)</f>
        <v>-541819.72411177587</v>
      </c>
      <c r="M34" s="112">
        <f t="shared" ref="M34:M43" si="28">G34+H34</f>
        <v>108894.91286461093</v>
      </c>
      <c r="R34" s="30"/>
    </row>
    <row r="35" spans="1:23" x14ac:dyDescent="0.3">
      <c r="A35" s="76">
        <f t="shared" ref="A35:A43" si="29">+A34+1</f>
        <v>2023</v>
      </c>
      <c r="B35" s="35">
        <f t="shared" si="24"/>
        <v>6416266.3582609855</v>
      </c>
      <c r="C35" s="35">
        <f t="shared" si="25"/>
        <v>6582590.2942164708</v>
      </c>
      <c r="D35" s="35">
        <f t="shared" ref="D35:D43" si="30">IF($R$10="Y",F15,B15)*O14</f>
        <v>6584197.3447985966</v>
      </c>
      <c r="E35" s="112">
        <f t="shared" ref="E35:E43" si="31">IF($R$10="Y",G14,C14)*O14</f>
        <v>8368729.018053514</v>
      </c>
      <c r="F35" s="110">
        <f t="shared" si="26"/>
        <v>166323.93595548533</v>
      </c>
      <c r="G35" s="111">
        <f t="shared" si="27"/>
        <v>166323.93595548469</v>
      </c>
      <c r="H35" s="111">
        <f t="shared" ref="H35:H43" si="32">D35-C35</f>
        <v>1607.050582125783</v>
      </c>
      <c r="I35" s="111">
        <f t="shared" ref="I35:I43" si="33">IF(E35="n/a",0,E35)-D35</f>
        <v>1784531.6732549174</v>
      </c>
      <c r="J35" s="111"/>
      <c r="K35" s="112">
        <f t="shared" ref="K35:K43" si="34">IF($R$10="Y","n/a",0.05*E35-0.075*B35)</f>
        <v>-62783.525966898131</v>
      </c>
      <c r="L35" s="110">
        <f t="shared" ref="L35:L43" si="35">I35+J35+IF($R$10="Y",0,K35)</f>
        <v>1721748.1472880193</v>
      </c>
      <c r="M35" s="112">
        <f t="shared" si="28"/>
        <v>167930.98653761047</v>
      </c>
    </row>
    <row r="36" spans="1:23" x14ac:dyDescent="0.3">
      <c r="A36" s="76">
        <f t="shared" si="29"/>
        <v>2024</v>
      </c>
      <c r="B36" s="35">
        <f t="shared" si="24"/>
        <v>4799100.7193968501</v>
      </c>
      <c r="C36" s="35">
        <f t="shared" si="25"/>
        <v>4935219.0258613061</v>
      </c>
      <c r="D36" s="35">
        <f t="shared" si="30"/>
        <v>4938830.912211976</v>
      </c>
      <c r="E36" s="112">
        <f t="shared" si="31"/>
        <v>5935195.7107764399</v>
      </c>
      <c r="F36" s="110">
        <f t="shared" si="26"/>
        <v>136118.30646445602</v>
      </c>
      <c r="G36" s="111">
        <f t="shared" si="27"/>
        <v>136118.30646445646</v>
      </c>
      <c r="H36" s="111">
        <f t="shared" si="32"/>
        <v>3611.8863506698981</v>
      </c>
      <c r="I36" s="111">
        <f t="shared" si="33"/>
        <v>996364.79856446385</v>
      </c>
      <c r="J36" s="111"/>
      <c r="K36" s="112">
        <f t="shared" si="34"/>
        <v>-63172.76841594174</v>
      </c>
      <c r="L36" s="110">
        <f t="shared" si="35"/>
        <v>933192.03014852211</v>
      </c>
      <c r="M36" s="112">
        <f t="shared" si="28"/>
        <v>139730.19281512636</v>
      </c>
    </row>
    <row r="37" spans="1:23" x14ac:dyDescent="0.3">
      <c r="A37" s="76">
        <f t="shared" si="29"/>
        <v>2025</v>
      </c>
      <c r="B37" s="35">
        <f t="shared" si="24"/>
        <v>3228585.6498239669</v>
      </c>
      <c r="C37" s="35">
        <f t="shared" si="25"/>
        <v>3332872.6966988491</v>
      </c>
      <c r="D37" s="35">
        <f t="shared" si="30"/>
        <v>3336934.3359900517</v>
      </c>
      <c r="E37" s="112">
        <f t="shared" si="31"/>
        <v>4414731.3271008562</v>
      </c>
      <c r="F37" s="110">
        <f t="shared" si="26"/>
        <v>104287.04687488219</v>
      </c>
      <c r="G37" s="111">
        <f t="shared" si="27"/>
        <v>104287.04687488161</v>
      </c>
      <c r="H37" s="111">
        <f t="shared" si="32"/>
        <v>4061.6392912026495</v>
      </c>
      <c r="I37" s="111">
        <f t="shared" si="33"/>
        <v>1077796.9911108045</v>
      </c>
      <c r="J37" s="111"/>
      <c r="K37" s="112">
        <f t="shared" si="34"/>
        <v>-21407.357381754671</v>
      </c>
      <c r="L37" s="110">
        <f t="shared" si="35"/>
        <v>1056389.6337290499</v>
      </c>
      <c r="M37" s="112">
        <f t="shared" si="28"/>
        <v>108348.68616608426</v>
      </c>
      <c r="Q37" s="30"/>
      <c r="R37" s="31"/>
      <c r="S37" s="30"/>
      <c r="T37" s="30"/>
      <c r="U37" s="31"/>
    </row>
    <row r="38" spans="1:23" x14ac:dyDescent="0.3">
      <c r="A38" s="76">
        <f t="shared" si="29"/>
        <v>2026</v>
      </c>
      <c r="B38" s="35">
        <f t="shared" si="24"/>
        <v>2556854.4673754177</v>
      </c>
      <c r="C38" s="35">
        <f t="shared" si="25"/>
        <v>2636138.6558922585</v>
      </c>
      <c r="D38" s="35">
        <f t="shared" si="30"/>
        <v>2640630.2009006222</v>
      </c>
      <c r="E38" s="112">
        <f t="shared" si="31"/>
        <v>2969548.7194184638</v>
      </c>
      <c r="F38" s="110">
        <f t="shared" si="26"/>
        <v>79284.188516840804</v>
      </c>
      <c r="G38" s="111">
        <f t="shared" si="27"/>
        <v>79284.188516840703</v>
      </c>
      <c r="H38" s="111">
        <f t="shared" si="32"/>
        <v>4491.5450083636679</v>
      </c>
      <c r="I38" s="111">
        <f t="shared" si="33"/>
        <v>328918.51851784158</v>
      </c>
      <c r="J38" s="111"/>
      <c r="K38" s="112">
        <f t="shared" si="34"/>
        <v>-43286.64908223314</v>
      </c>
      <c r="L38" s="110">
        <f t="shared" si="35"/>
        <v>285631.86943560845</v>
      </c>
      <c r="M38" s="112">
        <f t="shared" si="28"/>
        <v>83775.73352520437</v>
      </c>
      <c r="Q38" s="30"/>
      <c r="R38" s="31"/>
      <c r="S38" s="30"/>
      <c r="T38" s="30"/>
      <c r="U38" s="31"/>
    </row>
    <row r="39" spans="1:23" x14ac:dyDescent="0.3">
      <c r="A39" s="76">
        <f t="shared" si="29"/>
        <v>2027</v>
      </c>
      <c r="B39" s="35">
        <f t="shared" si="24"/>
        <v>1321650.9322938169</v>
      </c>
      <c r="C39" s="35">
        <f t="shared" si="25"/>
        <v>1364308.4562136705</v>
      </c>
      <c r="D39" s="35">
        <f t="shared" si="30"/>
        <v>1367296.0973941963</v>
      </c>
      <c r="E39" s="112">
        <f t="shared" si="31"/>
        <v>2338978.5877791964</v>
      </c>
      <c r="F39" s="110">
        <f t="shared" si="26"/>
        <v>42657.523919853615</v>
      </c>
      <c r="G39" s="111">
        <f t="shared" si="27"/>
        <v>42657.523919853527</v>
      </c>
      <c r="H39" s="111">
        <f t="shared" si="32"/>
        <v>2987.6411805257667</v>
      </c>
      <c r="I39" s="111">
        <f t="shared" si="33"/>
        <v>971682.49038500013</v>
      </c>
      <c r="J39" s="111"/>
      <c r="K39" s="112">
        <f t="shared" si="34"/>
        <v>17825.109466923561</v>
      </c>
      <c r="L39" s="110">
        <f t="shared" si="35"/>
        <v>989507.59985192365</v>
      </c>
      <c r="M39" s="112">
        <f t="shared" si="28"/>
        <v>45645.165100379294</v>
      </c>
      <c r="Q39" s="30"/>
      <c r="R39" s="31"/>
      <c r="S39" s="30"/>
      <c r="U39" s="31"/>
    </row>
    <row r="40" spans="1:23" x14ac:dyDescent="0.3">
      <c r="A40" s="76">
        <f t="shared" si="29"/>
        <v>2028</v>
      </c>
      <c r="B40" s="35">
        <f t="shared" si="24"/>
        <v>930106.38886552968</v>
      </c>
      <c r="C40" s="35">
        <f t="shared" si="25"/>
        <v>961383.36454611272</v>
      </c>
      <c r="D40" s="35">
        <f t="shared" si="30"/>
        <v>963955.56293145882</v>
      </c>
      <c r="E40" s="112">
        <f t="shared" si="31"/>
        <v>1214845.1912176802</v>
      </c>
      <c r="F40" s="110">
        <f t="shared" si="26"/>
        <v>31276.97568058304</v>
      </c>
      <c r="G40" s="111">
        <f t="shared" si="27"/>
        <v>31276.975680582877</v>
      </c>
      <c r="H40" s="111">
        <f t="shared" si="32"/>
        <v>2572.1983853460988</v>
      </c>
      <c r="I40" s="111">
        <f t="shared" si="33"/>
        <v>250889.62828622141</v>
      </c>
      <c r="J40" s="111"/>
      <c r="K40" s="112">
        <f t="shared" si="34"/>
        <v>-9015.7196040307099</v>
      </c>
      <c r="L40" s="110">
        <f t="shared" si="35"/>
        <v>241873.9086821907</v>
      </c>
      <c r="M40" s="112">
        <f t="shared" si="28"/>
        <v>33849.174065928979</v>
      </c>
      <c r="Q40" s="30"/>
      <c r="R40" s="31"/>
      <c r="S40" s="30"/>
      <c r="U40" s="31"/>
    </row>
    <row r="41" spans="1:23" x14ac:dyDescent="0.3">
      <c r="A41" s="76">
        <f t="shared" si="29"/>
        <v>2029</v>
      </c>
      <c r="B41" s="35">
        <f t="shared" si="24"/>
        <v>380406.16246017086</v>
      </c>
      <c r="C41" s="35">
        <f t="shared" si="25"/>
        <v>393752.54549183592</v>
      </c>
      <c r="D41" s="35">
        <f t="shared" si="30"/>
        <v>394997.10942225141</v>
      </c>
      <c r="E41" s="112">
        <f t="shared" si="31"/>
        <v>831894.1498434511</v>
      </c>
      <c r="F41" s="110">
        <f t="shared" si="26"/>
        <v>13346.383031665056</v>
      </c>
      <c r="G41" s="111">
        <f t="shared" si="27"/>
        <v>13346.383031665089</v>
      </c>
      <c r="H41" s="111">
        <f t="shared" si="32"/>
        <v>1244.5639304154902</v>
      </c>
      <c r="I41" s="111">
        <f t="shared" si="33"/>
        <v>436897.04042119969</v>
      </c>
      <c r="J41" s="111"/>
      <c r="K41" s="112">
        <f t="shared" si="34"/>
        <v>13064.245307659745</v>
      </c>
      <c r="L41" s="110">
        <f t="shared" si="35"/>
        <v>449961.28572885942</v>
      </c>
      <c r="M41" s="112">
        <f t="shared" si="28"/>
        <v>14590.946962080579</v>
      </c>
      <c r="Q41" s="30"/>
      <c r="R41" s="31"/>
      <c r="S41" s="30"/>
      <c r="U41" s="31"/>
    </row>
    <row r="42" spans="1:23" x14ac:dyDescent="0.3">
      <c r="A42" s="76">
        <f t="shared" si="29"/>
        <v>2030</v>
      </c>
      <c r="B42" s="35">
        <f t="shared" si="24"/>
        <v>194171.17438346939</v>
      </c>
      <c r="C42" s="35">
        <f t="shared" si="25"/>
        <v>201287.74676828785</v>
      </c>
      <c r="D42" s="35">
        <f t="shared" si="30"/>
        <v>202021.55841337424</v>
      </c>
      <c r="E42" s="112">
        <f t="shared" si="31"/>
        <v>347095.94159868092</v>
      </c>
      <c r="F42" s="110">
        <f t="shared" si="26"/>
        <v>7116.5723848184571</v>
      </c>
      <c r="G42" s="111">
        <f t="shared" si="27"/>
        <v>7116.5723848184289</v>
      </c>
      <c r="H42" s="111">
        <f t="shared" si="32"/>
        <v>733.81164508638903</v>
      </c>
      <c r="I42" s="111">
        <f t="shared" si="33"/>
        <v>145074.38318530668</v>
      </c>
      <c r="J42" s="111"/>
      <c r="K42" s="112">
        <f t="shared" si="34"/>
        <v>2791.9590011738437</v>
      </c>
      <c r="L42" s="110">
        <f t="shared" si="35"/>
        <v>147866.34218648053</v>
      </c>
      <c r="M42" s="112">
        <f t="shared" si="28"/>
        <v>7850.3840299048179</v>
      </c>
      <c r="Q42" s="30"/>
      <c r="R42" s="31"/>
      <c r="S42" s="30"/>
      <c r="U42" s="31"/>
    </row>
    <row r="43" spans="1:23" x14ac:dyDescent="0.3">
      <c r="A43" s="76">
        <f t="shared" si="29"/>
        <v>2031</v>
      </c>
      <c r="B43" s="35">
        <f t="shared" si="24"/>
        <v>0</v>
      </c>
      <c r="C43" s="35">
        <f t="shared" si="25"/>
        <v>0</v>
      </c>
      <c r="D43" s="35">
        <f t="shared" si="30"/>
        <v>0</v>
      </c>
      <c r="E43" s="114">
        <f t="shared" si="31"/>
        <v>171120.87775344375</v>
      </c>
      <c r="F43" s="115">
        <f t="shared" si="26"/>
        <v>0</v>
      </c>
      <c r="G43" s="113">
        <f t="shared" si="27"/>
        <v>0</v>
      </c>
      <c r="H43" s="113">
        <f t="shared" si="32"/>
        <v>0</v>
      </c>
      <c r="I43" s="113">
        <f t="shared" si="33"/>
        <v>171120.87775344375</v>
      </c>
      <c r="J43" s="113"/>
      <c r="K43" s="114">
        <f t="shared" si="34"/>
        <v>8556.0438876721873</v>
      </c>
      <c r="L43" s="115">
        <f t="shared" si="35"/>
        <v>179676.92164111594</v>
      </c>
      <c r="M43" s="114">
        <f t="shared" si="28"/>
        <v>0</v>
      </c>
      <c r="Q43" s="30"/>
      <c r="R43" s="31"/>
      <c r="S43" s="30"/>
      <c r="U43" s="31"/>
    </row>
    <row r="44" spans="1:23" x14ac:dyDescent="0.3">
      <c r="A44" s="32"/>
      <c r="B44" s="118">
        <f t="shared" ref="B44:M44" si="36">SUM(B34:B43)</f>
        <v>28809891.444718033</v>
      </c>
      <c r="C44" s="118">
        <f t="shared" si="36"/>
        <v>29499197.29041123</v>
      </c>
      <c r="D44" s="118">
        <f t="shared" si="36"/>
        <v>29520507.626784965</v>
      </c>
      <c r="E44" s="118">
        <f t="shared" si="36"/>
        <v>26592139.523541722</v>
      </c>
      <c r="F44" s="111">
        <f t="shared" si="36"/>
        <v>689305.84569319501</v>
      </c>
      <c r="G44" s="111">
        <f t="shared" si="36"/>
        <v>689305.84569319442</v>
      </c>
      <c r="H44" s="111">
        <f t="shared" si="36"/>
        <v>21310.336373735743</v>
      </c>
      <c r="I44" s="111">
        <f t="shared" si="36"/>
        <v>-2928368.1032432402</v>
      </c>
      <c r="J44" s="111"/>
      <c r="K44" s="111">
        <f t="shared" si="36"/>
        <v>-831134.88217676629</v>
      </c>
      <c r="L44" s="111">
        <f t="shared" si="36"/>
        <v>5464028.0145799946</v>
      </c>
      <c r="M44" s="111">
        <f t="shared" si="36"/>
        <v>710616.18206693011</v>
      </c>
      <c r="Q44" s="30"/>
      <c r="R44" s="31"/>
      <c r="S44" s="30"/>
      <c r="U44" s="31"/>
    </row>
    <row r="45" spans="1:23" x14ac:dyDescent="0.3">
      <c r="S45" s="30"/>
      <c r="T45" s="31"/>
      <c r="U45" s="30"/>
      <c r="W45" s="31"/>
    </row>
    <row r="47" spans="1:23" x14ac:dyDescent="0.3">
      <c r="A47" s="47" t="s">
        <v>13</v>
      </c>
    </row>
    <row r="48" spans="1:23" x14ac:dyDescent="0.3">
      <c r="A48" s="70" t="s">
        <v>267</v>
      </c>
      <c r="H48" s="92" t="str">
        <f>"(17) = "&amp;IF($R$10="Y","(6)","(2)")&amp;" x (9)"</f>
        <v>(17) = (2) x (9)</v>
      </c>
    </row>
    <row r="49" spans="1:8" x14ac:dyDescent="0.3">
      <c r="A49" s="70" t="s">
        <v>308</v>
      </c>
      <c r="H49" s="92" t="str">
        <f>"(18) = "&amp;IF($R$10="Y","(6)","(2)")&amp;" x [(13) shifted by one year]"</f>
        <v>(18) = (2) x [(13) shifted by one year]</v>
      </c>
    </row>
    <row r="50" spans="1:8" x14ac:dyDescent="0.3">
      <c r="A50" s="70" t="s">
        <v>309</v>
      </c>
      <c r="H50" s="92" t="str">
        <f>"(19) = "&amp;IF($R$10="Y","(6)","(2)")&amp;" x (15)"</f>
        <v>(19) = (2) x (15)</v>
      </c>
    </row>
    <row r="51" spans="1:8" x14ac:dyDescent="0.3">
      <c r="A51" s="70" t="s">
        <v>310</v>
      </c>
      <c r="E51" s="30"/>
      <c r="H51" s="92" t="str">
        <f>"(20) = "&amp;IF($R$10="Y","(7)","(3)")&amp;" x (15)"</f>
        <v>(20) = (3) x (15)</v>
      </c>
    </row>
    <row r="52" spans="1:8" x14ac:dyDescent="0.3">
      <c r="A52" s="70" t="s">
        <v>332</v>
      </c>
      <c r="H52" s="92" t="s">
        <v>342</v>
      </c>
    </row>
    <row r="53" spans="1:8" x14ac:dyDescent="0.3">
      <c r="A53" s="70" t="s">
        <v>333</v>
      </c>
      <c r="H53" s="92" t="s">
        <v>343</v>
      </c>
    </row>
    <row r="54" spans="1:8" x14ac:dyDescent="0.3">
      <c r="A54" s="70" t="s">
        <v>334</v>
      </c>
      <c r="H54" s="92" t="s">
        <v>344</v>
      </c>
    </row>
    <row r="55" spans="1:8" x14ac:dyDescent="0.3">
      <c r="A55" s="70" t="s">
        <v>339</v>
      </c>
      <c r="H55" s="92" t="s">
        <v>345</v>
      </c>
    </row>
    <row r="56" spans="1:8" x14ac:dyDescent="0.3">
      <c r="A56" s="70" t="s">
        <v>335</v>
      </c>
      <c r="H56" s="92" t="s">
        <v>362</v>
      </c>
    </row>
    <row r="57" spans="1:8" x14ac:dyDescent="0.3">
      <c r="A57" s="70" t="s">
        <v>336</v>
      </c>
      <c r="H57" s="92" t="str">
        <f>"(26) "&amp;IF($R$10="Y","n/a","From the entity")</f>
        <v>(26) From the entity</v>
      </c>
    </row>
    <row r="58" spans="1:8" x14ac:dyDescent="0.3">
      <c r="A58" s="70" t="s">
        <v>337</v>
      </c>
      <c r="H58" s="92" t="str">
        <f>"(27) = (24) + (25)"&amp;IF($R$10="Y",""," + (26)")</f>
        <v>(27) = (24) + (25) + (26)</v>
      </c>
    </row>
    <row r="59" spans="1:8" x14ac:dyDescent="0.3">
      <c r="A59" s="70" t="s">
        <v>340</v>
      </c>
      <c r="H59" s="92" t="s">
        <v>363</v>
      </c>
    </row>
    <row r="60" spans="1:8" x14ac:dyDescent="0.3">
      <c r="A60" s="70" t="s">
        <v>338</v>
      </c>
    </row>
    <row r="61" spans="1:8" x14ac:dyDescent="0.3">
      <c r="A61" s="70" t="s">
        <v>341</v>
      </c>
    </row>
    <row r="62" spans="1:8" x14ac:dyDescent="0.3">
      <c r="H62" s="92"/>
    </row>
    <row r="66" spans="1:1" x14ac:dyDescent="0.3">
      <c r="A66" s="70"/>
    </row>
    <row r="67" spans="1:1" x14ac:dyDescent="0.3">
      <c r="A67" s="70"/>
    </row>
    <row r="68" spans="1:1" x14ac:dyDescent="0.3">
      <c r="A68" s="70"/>
    </row>
    <row r="69" spans="1:1" x14ac:dyDescent="0.3">
      <c r="A69" s="70"/>
    </row>
    <row r="70" spans="1:1" x14ac:dyDescent="0.3">
      <c r="A70" s="70"/>
    </row>
    <row r="71" spans="1:1" x14ac:dyDescent="0.3">
      <c r="A71" s="70"/>
    </row>
    <row r="72" spans="1:1" x14ac:dyDescent="0.3">
      <c r="A72" s="70"/>
    </row>
    <row r="73" spans="1:1" x14ac:dyDescent="0.3">
      <c r="A73" s="70"/>
    </row>
    <row r="74" spans="1:1" x14ac:dyDescent="0.3">
      <c r="A74" s="70"/>
    </row>
    <row r="75" spans="1:1" x14ac:dyDescent="0.3">
      <c r="A75" s="70"/>
    </row>
  </sheetData>
  <sheetProtection sheet="1" objects="1" scenarios="1"/>
  <conditionalFormatting sqref="H62 H56">
    <cfRule type="expression" dxfId="3" priority="4">
      <formula>$R$10="Y"</formula>
    </cfRule>
  </conditionalFormatting>
  <conditionalFormatting sqref="H57">
    <cfRule type="expression" dxfId="2" priority="1">
      <formula>$R$10="Y"</formula>
    </cfRule>
  </conditionalFormatting>
  <dataValidations count="2">
    <dataValidation type="list" allowBlank="1" showInputMessage="1" showErrorMessage="1" sqref="R6" xr:uid="{787CC690-42E9-40E3-B263-5A4EA638EEDE}">
      <formula1>$U$4:$U$6</formula1>
    </dataValidation>
    <dataValidation type="list" allowBlank="1" showInputMessage="1" showErrorMessage="1" sqref="R10" xr:uid="{562EC717-13F6-4323-9FB2-8BE01D243CB8}">
      <formula1>$U$9:$U$10</formula1>
    </dataValidation>
  </dataValidations>
  <pageMargins left="0.7" right="0.7" top="0.75" bottom="0.75" header="0.3" footer="0.3"/>
  <pageSetup scale="36" orientation="portrait" r:id="rId1"/>
  <headerFooter>
    <oddFooter>&amp;L&amp;D - &amp;T&amp;R&amp;F
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82FC8-E2EF-4B99-B3E1-0C0F950D201E}">
  <dimension ref="A1:K76"/>
  <sheetViews>
    <sheetView view="pageBreakPreview" topLeftCell="A40" zoomScale="85" zoomScaleNormal="100" zoomScaleSheetLayoutView="85" workbookViewId="0">
      <selection activeCell="D30" sqref="D30"/>
    </sheetView>
  </sheetViews>
  <sheetFormatPr defaultColWidth="11.77734375" defaultRowHeight="14.4" x14ac:dyDescent="0.3"/>
  <cols>
    <col min="1" max="2" width="5" customWidth="1"/>
    <col min="3" max="3" width="50.44140625" bestFit="1" customWidth="1"/>
    <col min="4" max="5" width="14.77734375" customWidth="1"/>
    <col min="6" max="6" width="1.44140625" customWidth="1"/>
    <col min="7" max="8" width="14.77734375" customWidth="1"/>
    <col min="9" max="11" width="14.21875" customWidth="1"/>
  </cols>
  <sheetData>
    <row r="1" spans="1:11" x14ac:dyDescent="0.3">
      <c r="A1" s="2" t="s">
        <v>51</v>
      </c>
      <c r="B1" s="2"/>
      <c r="C1" s="2"/>
      <c r="D1" s="1"/>
      <c r="E1" s="1"/>
      <c r="F1" s="1"/>
      <c r="G1" s="1"/>
      <c r="H1" s="1"/>
      <c r="J1" s="1"/>
      <c r="K1" s="1"/>
    </row>
    <row r="2" spans="1:11" x14ac:dyDescent="0.3">
      <c r="A2" s="1"/>
      <c r="B2" s="1"/>
      <c r="C2" s="1"/>
      <c r="D2" s="1"/>
      <c r="E2" s="1"/>
      <c r="F2" s="1"/>
      <c r="G2" s="1"/>
      <c r="H2" s="1"/>
      <c r="J2" s="1"/>
      <c r="K2" s="1"/>
    </row>
    <row r="3" spans="1:11" x14ac:dyDescent="0.3">
      <c r="A3" s="2" t="str">
        <f>CompanyName</f>
        <v>Company ABC</v>
      </c>
      <c r="B3" s="2"/>
      <c r="C3" s="2"/>
      <c r="D3" s="1"/>
      <c r="E3" s="1"/>
      <c r="F3" s="1"/>
      <c r="G3" s="1"/>
      <c r="H3" s="1"/>
      <c r="J3" s="1"/>
      <c r="K3" s="1"/>
    </row>
    <row r="4" spans="1:11" x14ac:dyDescent="0.3">
      <c r="A4" s="1" t="s">
        <v>132</v>
      </c>
      <c r="B4" s="1"/>
      <c r="C4" s="1"/>
      <c r="D4" s="1"/>
      <c r="E4" s="1"/>
      <c r="F4" s="1"/>
      <c r="G4" s="1"/>
      <c r="H4" s="1"/>
      <c r="J4" s="1"/>
      <c r="K4" s="1"/>
    </row>
    <row r="5" spans="1:11" x14ac:dyDescent="0.3">
      <c r="A5" s="1" t="str">
        <f>"As at "&amp;TEXT(ValDate,"mmmm dd, yyyy")</f>
        <v>As at December 31, 2022</v>
      </c>
      <c r="B5" s="1"/>
      <c r="C5" s="1"/>
      <c r="D5" s="1"/>
      <c r="E5" s="1"/>
      <c r="F5" s="1"/>
      <c r="G5" s="1"/>
      <c r="H5" s="1"/>
      <c r="J5" s="1"/>
      <c r="K5" s="1"/>
    </row>
    <row r="9" spans="1:11" x14ac:dyDescent="0.3">
      <c r="D9" s="13" t="s">
        <v>133</v>
      </c>
      <c r="E9" s="22"/>
      <c r="F9" s="53"/>
      <c r="G9" s="13" t="s">
        <v>134</v>
      </c>
      <c r="H9" s="13"/>
    </row>
    <row r="10" spans="1:11" x14ac:dyDescent="0.3">
      <c r="A10" s="12"/>
      <c r="B10" s="12"/>
      <c r="C10" s="12"/>
      <c r="D10" s="12">
        <v>2022</v>
      </c>
      <c r="E10" s="54">
        <v>2021</v>
      </c>
      <c r="F10" s="69"/>
      <c r="G10" s="12">
        <v>2022</v>
      </c>
      <c r="H10" s="12">
        <v>2021</v>
      </c>
    </row>
    <row r="11" spans="1:11" x14ac:dyDescent="0.3">
      <c r="E11" s="67"/>
    </row>
    <row r="12" spans="1:11" x14ac:dyDescent="0.3">
      <c r="A12" s="5" t="s">
        <v>79</v>
      </c>
      <c r="E12" s="67"/>
    </row>
    <row r="13" spans="1:11" x14ac:dyDescent="0.3">
      <c r="E13" s="67"/>
    </row>
    <row r="14" spans="1:11" x14ac:dyDescent="0.3">
      <c r="B14" t="s">
        <v>80</v>
      </c>
      <c r="E14" s="67"/>
    </row>
    <row r="15" spans="1:11" x14ac:dyDescent="0.3">
      <c r="E15" s="67"/>
    </row>
    <row r="16" spans="1:11" x14ac:dyDescent="0.3">
      <c r="A16" s="38" t="s">
        <v>14</v>
      </c>
      <c r="C16" t="s">
        <v>81</v>
      </c>
      <c r="D16" s="46">
        <f>'5-Summary'!B23</f>
        <v>28337815.999999996</v>
      </c>
      <c r="E16" s="52">
        <f>'5-Summary'!M23</f>
        <v>30751750.979631685</v>
      </c>
      <c r="F16" s="46"/>
      <c r="G16" s="46">
        <f>D16</f>
        <v>28337815.999999996</v>
      </c>
      <c r="H16" s="46">
        <f t="shared" ref="H16:H18" si="0">E16</f>
        <v>30751750.979631685</v>
      </c>
    </row>
    <row r="17" spans="1:8" x14ac:dyDescent="0.3">
      <c r="A17" s="38" t="s">
        <v>15</v>
      </c>
      <c r="C17" t="s">
        <v>82</v>
      </c>
      <c r="D17" s="46">
        <f>'5-Summary'!C23-'5-Summary'!B23</f>
        <v>-1745676.4764582664</v>
      </c>
      <c r="E17" s="52">
        <f>'5-Summary'!N23-'5-Summary'!M23</f>
        <v>-1941859.5349136442</v>
      </c>
      <c r="F17" s="46"/>
      <c r="G17" s="46">
        <f t="shared" ref="G17:G18" si="1">D17</f>
        <v>-1745676.4764582664</v>
      </c>
      <c r="H17" s="46">
        <f t="shared" si="0"/>
        <v>-1941859.5349136442</v>
      </c>
    </row>
    <row r="18" spans="1:8" x14ac:dyDescent="0.3">
      <c r="A18" s="38" t="s">
        <v>16</v>
      </c>
      <c r="C18" t="s">
        <v>83</v>
      </c>
      <c r="D18" s="46">
        <f>'5-Summary'!D23</f>
        <v>1329606.9761770866</v>
      </c>
      <c r="E18" s="52">
        <f>'5-Summary'!O23</f>
        <v>2160741.8583538523</v>
      </c>
      <c r="F18" s="46"/>
      <c r="G18" s="46">
        <f t="shared" si="1"/>
        <v>1329606.9761770866</v>
      </c>
      <c r="H18" s="46">
        <f t="shared" si="0"/>
        <v>2160741.8583538523</v>
      </c>
    </row>
    <row r="19" spans="1:8" x14ac:dyDescent="0.3">
      <c r="A19" s="38" t="s">
        <v>119</v>
      </c>
      <c r="C19" t="s">
        <v>30</v>
      </c>
      <c r="D19" s="48">
        <f>SUM(D16:D18)</f>
        <v>27921746.499718815</v>
      </c>
      <c r="E19" s="51">
        <f>SUM(E16:E18)</f>
        <v>30970633.303071894</v>
      </c>
      <c r="F19" s="46"/>
      <c r="G19" s="48">
        <f>SUM(G16:G18)</f>
        <v>27921746.499718815</v>
      </c>
      <c r="H19" s="48">
        <f>SUM(H16:H18)</f>
        <v>30970633.303071894</v>
      </c>
    </row>
    <row r="20" spans="1:8" x14ac:dyDescent="0.3">
      <c r="D20" s="46"/>
      <c r="E20" s="52"/>
      <c r="F20" s="46"/>
      <c r="G20" s="46"/>
      <c r="H20" s="46"/>
    </row>
    <row r="21" spans="1:8" x14ac:dyDescent="0.3">
      <c r="A21" s="38" t="s">
        <v>120</v>
      </c>
      <c r="B21" t="s">
        <v>135</v>
      </c>
      <c r="D21" s="46">
        <v>0</v>
      </c>
      <c r="E21" s="52">
        <v>0</v>
      </c>
      <c r="F21" s="46"/>
      <c r="G21" s="46">
        <f>IF('6-Income Statement Calculations'!$R$10="Y",'5-Summary'!J23,'5-Summary'!C23-'5-Summary'!G23)</f>
        <v>-237756.21947474405</v>
      </c>
      <c r="H21" s="46">
        <f>IF('6-Income Statement Calculations'!$R$10="Y",'5-Summary'!U23,'5-Summary'!N23-'5-Summary'!R23)</f>
        <v>-415354.61270022392</v>
      </c>
    </row>
    <row r="22" spans="1:8" x14ac:dyDescent="0.3">
      <c r="D22" s="46"/>
      <c r="E22" s="52"/>
      <c r="F22" s="46"/>
      <c r="G22" s="46"/>
      <c r="H22" s="46"/>
    </row>
    <row r="23" spans="1:8" x14ac:dyDescent="0.3">
      <c r="D23" s="46"/>
      <c r="E23" s="52"/>
      <c r="F23" s="46"/>
      <c r="G23" s="46"/>
      <c r="H23" s="46"/>
    </row>
    <row r="24" spans="1:8" x14ac:dyDescent="0.3">
      <c r="D24" s="46"/>
      <c r="E24" s="52"/>
      <c r="F24" s="46"/>
      <c r="G24" s="46"/>
      <c r="H24" s="46"/>
    </row>
    <row r="25" spans="1:8" s="47" customFormat="1" x14ac:dyDescent="0.3">
      <c r="A25" s="47" t="s">
        <v>152</v>
      </c>
      <c r="D25" s="49"/>
      <c r="E25" s="68"/>
      <c r="F25" s="49"/>
      <c r="G25" s="49"/>
      <c r="H25" s="49"/>
    </row>
    <row r="26" spans="1:8" x14ac:dyDescent="0.3">
      <c r="D26" s="46"/>
      <c r="E26" s="52"/>
      <c r="F26" s="46"/>
      <c r="G26" s="46"/>
      <c r="H26" s="46"/>
    </row>
    <row r="27" spans="1:8" x14ac:dyDescent="0.3">
      <c r="D27" s="46"/>
      <c r="E27" s="52"/>
      <c r="F27" s="46"/>
      <c r="G27" s="46"/>
      <c r="H27" s="46"/>
    </row>
    <row r="28" spans="1:8" x14ac:dyDescent="0.3">
      <c r="B28" t="s">
        <v>84</v>
      </c>
      <c r="D28" s="46"/>
      <c r="E28" s="52"/>
      <c r="F28" s="46"/>
      <c r="G28" s="46"/>
      <c r="H28" s="46"/>
    </row>
    <row r="29" spans="1:8" x14ac:dyDescent="0.3">
      <c r="D29" s="46"/>
      <c r="E29" s="52"/>
      <c r="F29" s="46"/>
      <c r="G29" s="46"/>
      <c r="H29" s="46"/>
    </row>
    <row r="30" spans="1:8" x14ac:dyDescent="0.3">
      <c r="A30" s="38" t="s">
        <v>121</v>
      </c>
      <c r="C30" t="str">
        <f>"Change in Cash Flow "&amp;IF('6-Income Statement Calculations'!$R$10="Y","and Risk Adjustment ","")&amp;"Assumptions"</f>
        <v>Change in Cash Flow Assumptions</v>
      </c>
      <c r="D30" s="46">
        <f>'6-Income Statement Calculations'!I44+'6-Income Statement Calculations'!J34</f>
        <v>6295162.8967567598</v>
      </c>
      <c r="E30" s="52"/>
      <c r="F30" s="46"/>
      <c r="G30" s="46">
        <f>D30</f>
        <v>6295162.8967567598</v>
      </c>
      <c r="H30" s="46"/>
    </row>
    <row r="31" spans="1:8" x14ac:dyDescent="0.3">
      <c r="A31" s="38" t="s">
        <v>122</v>
      </c>
      <c r="C31" t="s">
        <v>295</v>
      </c>
      <c r="D31" s="46">
        <f>IF('6-Income Statement Calculations'!$R$10="Y",0,D18-E18)</f>
        <v>-831134.88217676571</v>
      </c>
      <c r="E31" s="52"/>
      <c r="F31" s="46"/>
      <c r="G31" s="46">
        <f>D31</f>
        <v>-831134.88217676571</v>
      </c>
      <c r="H31" s="46"/>
    </row>
    <row r="32" spans="1:8" x14ac:dyDescent="0.3">
      <c r="A32" s="38" t="s">
        <v>123</v>
      </c>
      <c r="C32" t="s">
        <v>30</v>
      </c>
      <c r="D32" s="48">
        <f>SUM(D30:D31)</f>
        <v>5464028.0145799946</v>
      </c>
      <c r="E32" s="52"/>
      <c r="F32" s="46"/>
      <c r="G32" s="48">
        <f>SUM(G30:G31)</f>
        <v>5464028.0145799946</v>
      </c>
      <c r="H32" s="46"/>
    </row>
    <row r="33" spans="1:8" x14ac:dyDescent="0.3">
      <c r="D33" s="46"/>
      <c r="E33" s="52"/>
      <c r="F33" s="46"/>
      <c r="G33" s="46"/>
      <c r="H33" s="46"/>
    </row>
    <row r="34" spans="1:8" x14ac:dyDescent="0.3">
      <c r="B34" t="s">
        <v>74</v>
      </c>
      <c r="D34" s="46"/>
      <c r="E34" s="52"/>
      <c r="F34" s="46"/>
      <c r="G34" s="46"/>
      <c r="H34" s="46"/>
    </row>
    <row r="35" spans="1:8" x14ac:dyDescent="0.3">
      <c r="A35" s="38" t="s">
        <v>124</v>
      </c>
      <c r="C35" t="s">
        <v>85</v>
      </c>
      <c r="D35" s="46">
        <f>'6-Income Statement Calculations'!G44</f>
        <v>689305.84569319442</v>
      </c>
      <c r="E35" s="52"/>
      <c r="F35" s="46"/>
      <c r="G35" s="46">
        <f>D35</f>
        <v>689305.84569319442</v>
      </c>
      <c r="H35" s="46"/>
    </row>
    <row r="36" spans="1:8" x14ac:dyDescent="0.3">
      <c r="A36" s="38" t="s">
        <v>129</v>
      </c>
      <c r="C36" t="s">
        <v>86</v>
      </c>
      <c r="D36" s="46">
        <f>'6-Income Statement Calculations'!H44</f>
        <v>21310.336373735743</v>
      </c>
      <c r="E36" s="52"/>
      <c r="F36" s="46"/>
      <c r="G36" s="46">
        <f>D36</f>
        <v>21310.336373735743</v>
      </c>
      <c r="H36" s="46"/>
    </row>
    <row r="37" spans="1:8" x14ac:dyDescent="0.3">
      <c r="A37" s="38" t="s">
        <v>255</v>
      </c>
      <c r="C37" t="s">
        <v>136</v>
      </c>
      <c r="D37" s="46">
        <v>0</v>
      </c>
      <c r="E37" s="52"/>
      <c r="F37" s="46"/>
      <c r="G37" s="46">
        <f>-G40</f>
        <v>-177598.39322547987</v>
      </c>
      <c r="H37" s="46"/>
    </row>
    <row r="38" spans="1:8" x14ac:dyDescent="0.3">
      <c r="A38" s="38" t="s">
        <v>256</v>
      </c>
      <c r="C38" t="s">
        <v>150</v>
      </c>
      <c r="D38" s="48">
        <f>SUM(D35:D37)</f>
        <v>710616.18206693023</v>
      </c>
      <c r="E38" s="52"/>
      <c r="F38" s="46"/>
      <c r="G38" s="48">
        <f>SUM(G35:G37)</f>
        <v>533017.78884145035</v>
      </c>
      <c r="H38" s="46"/>
    </row>
    <row r="39" spans="1:8" x14ac:dyDescent="0.3">
      <c r="D39" s="50"/>
      <c r="E39" s="52"/>
      <c r="F39" s="46"/>
      <c r="G39" s="50"/>
      <c r="H39" s="46"/>
    </row>
    <row r="40" spans="1:8" x14ac:dyDescent="0.3">
      <c r="A40" s="38" t="s">
        <v>257</v>
      </c>
      <c r="C40" t="s">
        <v>151</v>
      </c>
      <c r="D40" s="50">
        <v>0</v>
      </c>
      <c r="E40" s="52"/>
      <c r="F40" s="46"/>
      <c r="G40" s="50">
        <f>G21-H21</f>
        <v>177598.39322547987</v>
      </c>
      <c r="H40" s="46"/>
    </row>
    <row r="41" spans="1:8" x14ac:dyDescent="0.3">
      <c r="D41" s="50"/>
      <c r="E41" s="52"/>
      <c r="F41" s="46"/>
      <c r="G41" s="50"/>
      <c r="H41" s="46"/>
    </row>
    <row r="42" spans="1:8" x14ac:dyDescent="0.3">
      <c r="A42" s="38" t="s">
        <v>258</v>
      </c>
      <c r="C42" t="s">
        <v>153</v>
      </c>
      <c r="D42" s="48">
        <f>D38+D40</f>
        <v>710616.18206693023</v>
      </c>
      <c r="E42" s="52"/>
      <c r="F42" s="46"/>
      <c r="G42" s="48">
        <f>G38+G40</f>
        <v>710616.18206693023</v>
      </c>
      <c r="H42" s="46"/>
    </row>
    <row r="43" spans="1:8" x14ac:dyDescent="0.3">
      <c r="D43" s="50"/>
      <c r="E43" s="52"/>
      <c r="F43" s="46"/>
      <c r="G43" s="50"/>
      <c r="H43" s="46"/>
    </row>
    <row r="44" spans="1:8" x14ac:dyDescent="0.3">
      <c r="D44" s="50"/>
      <c r="E44" s="52"/>
      <c r="F44" s="46"/>
      <c r="G44" s="50"/>
      <c r="H44" s="46"/>
    </row>
    <row r="45" spans="1:8" x14ac:dyDescent="0.3">
      <c r="D45" s="50"/>
      <c r="E45" s="52"/>
      <c r="F45" s="46"/>
      <c r="G45" s="50"/>
      <c r="H45" s="46"/>
    </row>
    <row r="46" spans="1:8" x14ac:dyDescent="0.3">
      <c r="B46" s="55"/>
      <c r="C46" s="56"/>
      <c r="D46" s="57"/>
      <c r="E46" s="58"/>
      <c r="F46" s="57"/>
      <c r="G46" s="57"/>
      <c r="H46" s="58"/>
    </row>
    <row r="47" spans="1:8" x14ac:dyDescent="0.3">
      <c r="B47" s="66" t="s">
        <v>88</v>
      </c>
      <c r="C47" s="60"/>
      <c r="D47" s="61"/>
      <c r="E47" s="62"/>
      <c r="F47" s="61"/>
      <c r="G47" s="61"/>
      <c r="H47" s="62"/>
    </row>
    <row r="48" spans="1:8" x14ac:dyDescent="0.3">
      <c r="B48" s="59"/>
      <c r="C48" s="60" t="s">
        <v>87</v>
      </c>
      <c r="D48" s="61">
        <f>'6-Income Statement Calculations'!J34</f>
        <v>9223531</v>
      </c>
      <c r="E48" s="62"/>
      <c r="F48" s="61"/>
      <c r="G48" s="61">
        <f>D48</f>
        <v>9223531</v>
      </c>
      <c r="H48" s="62"/>
    </row>
    <row r="49" spans="1:8" x14ac:dyDescent="0.3">
      <c r="B49" s="59"/>
      <c r="C49" s="60" t="s">
        <v>89</v>
      </c>
      <c r="D49" s="61">
        <f>D19</f>
        <v>27921746.499718815</v>
      </c>
      <c r="E49" s="62"/>
      <c r="F49" s="61"/>
      <c r="G49" s="61">
        <f>G19</f>
        <v>27921746.499718815</v>
      </c>
      <c r="H49" s="62"/>
    </row>
    <row r="50" spans="1:8" x14ac:dyDescent="0.3">
      <c r="B50" s="59"/>
      <c r="C50" s="60" t="s">
        <v>90</v>
      </c>
      <c r="D50" s="61">
        <f>E19</f>
        <v>30970633.303071894</v>
      </c>
      <c r="E50" s="62"/>
      <c r="F50" s="61"/>
      <c r="G50" s="61">
        <f>H19</f>
        <v>30970633.303071894</v>
      </c>
      <c r="H50" s="62"/>
    </row>
    <row r="51" spans="1:8" x14ac:dyDescent="0.3">
      <c r="B51" s="59"/>
      <c r="C51" s="60" t="s">
        <v>30</v>
      </c>
      <c r="D51" s="57">
        <f>+D48+D49-D50</f>
        <v>6174644.1966469213</v>
      </c>
      <c r="E51" s="62"/>
      <c r="F51" s="61"/>
      <c r="G51" s="57">
        <f>+G48+G49-G50</f>
        <v>6174644.1966469213</v>
      </c>
      <c r="H51" s="62"/>
    </row>
    <row r="52" spans="1:8" x14ac:dyDescent="0.3">
      <c r="B52" s="59"/>
      <c r="C52" s="60"/>
      <c r="D52" s="61"/>
      <c r="E52" s="62"/>
      <c r="F52" s="61"/>
      <c r="G52" s="61"/>
      <c r="H52" s="62"/>
    </row>
    <row r="53" spans="1:8" x14ac:dyDescent="0.3">
      <c r="B53" s="59"/>
      <c r="C53" s="60" t="s">
        <v>91</v>
      </c>
      <c r="D53" s="61">
        <f>+D51-D32-D38-D40</f>
        <v>-3.4924596548080444E-9</v>
      </c>
      <c r="E53" s="62"/>
      <c r="F53" s="61"/>
      <c r="G53" s="61">
        <f>+G51-G32-G38-G40</f>
        <v>-3.4924596548080444E-9</v>
      </c>
      <c r="H53" s="62"/>
    </row>
    <row r="54" spans="1:8" x14ac:dyDescent="0.3">
      <c r="B54" s="63"/>
      <c r="C54" s="64"/>
      <c r="D54" s="64"/>
      <c r="E54" s="65"/>
      <c r="F54" s="64"/>
      <c r="G54" s="64"/>
      <c r="H54" s="65"/>
    </row>
    <row r="62" spans="1:8" x14ac:dyDescent="0.3">
      <c r="A62" s="5" t="s">
        <v>13</v>
      </c>
    </row>
    <row r="63" spans="1:8" x14ac:dyDescent="0.3">
      <c r="A63" s="38" t="s">
        <v>325</v>
      </c>
    </row>
    <row r="64" spans="1:8" x14ac:dyDescent="0.3">
      <c r="A64" s="38" t="s">
        <v>326</v>
      </c>
    </row>
    <row r="65" spans="1:1" x14ac:dyDescent="0.3">
      <c r="A65" s="38" t="s">
        <v>327</v>
      </c>
    </row>
    <row r="66" spans="1:1" x14ac:dyDescent="0.3">
      <c r="A66" s="38" t="s">
        <v>259</v>
      </c>
    </row>
    <row r="67" spans="1:1" x14ac:dyDescent="0.3">
      <c r="A67" s="38" t="str">
        <f>+"(5) = 0 without OCI option; = "&amp;IF('6-Income Statement Calculations'!$R$10="Y","Appendix 5, Column (9)","Appendix 5, Column (2) - Appendix 5, Column (6)")&amp;" with OCI option"</f>
        <v>(5) = 0 without OCI option; = Appendix 5, Column (2) - Appendix 5, Column (6) with OCI option</v>
      </c>
    </row>
    <row r="68" spans="1:1" x14ac:dyDescent="0.3">
      <c r="A68" s="38" t="s">
        <v>348</v>
      </c>
    </row>
    <row r="69" spans="1:1" x14ac:dyDescent="0.3">
      <c r="A69" t="s">
        <v>349</v>
      </c>
    </row>
    <row r="70" spans="1:1" x14ac:dyDescent="0.3">
      <c r="A70" s="38" t="str">
        <f>"(8) = (6)"&amp;IF('6-Income Statement Calculations'!$R$10="Y",""," + (7)")</f>
        <v>(8) = (6) + (7)</v>
      </c>
    </row>
    <row r="71" spans="1:1" x14ac:dyDescent="0.3">
      <c r="A71" s="99" t="s">
        <v>354</v>
      </c>
    </row>
    <row r="72" spans="1:1" x14ac:dyDescent="0.3">
      <c r="A72" s="99" t="s">
        <v>355</v>
      </c>
    </row>
    <row r="73" spans="1:1" x14ac:dyDescent="0.3">
      <c r="A73" s="99" t="s">
        <v>353</v>
      </c>
    </row>
    <row r="74" spans="1:1" x14ac:dyDescent="0.3">
      <c r="A74" s="99" t="s">
        <v>352</v>
      </c>
    </row>
    <row r="75" spans="1:1" x14ac:dyDescent="0.3">
      <c r="A75" s="99" t="s">
        <v>350</v>
      </c>
    </row>
    <row r="76" spans="1:1" x14ac:dyDescent="0.3">
      <c r="A76" s="99" t="s">
        <v>351</v>
      </c>
    </row>
  </sheetData>
  <sheetProtection sheet="1" objects="1" scenarios="1"/>
  <printOptions horizontalCentered="1"/>
  <pageMargins left="0.70866141732283472" right="0.70866141732283472" top="0.74803149606299213" bottom="0.74803149606299213" header="0.31496062992125984" footer="0.31496062992125984"/>
  <pageSetup scale="55" orientation="landscape" blackAndWhite="1" r:id="rId1"/>
  <rowBreaks count="1" manualBreakCount="1">
    <brk id="60" max="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C7C25CCD-755F-4C9E-A61A-504D61928539}">
            <xm:f>'6-Income Statement Calculations'!$R$10="Y"</xm:f>
            <x14:dxf>
              <font>
                <color theme="0"/>
              </font>
            </x14:dxf>
          </x14:cfRule>
          <xm:sqref>A31:G31</xm:sqref>
        </x14:conditionalFormatting>
        <x14:conditionalFormatting xmlns:xm="http://schemas.microsoft.com/office/excel/2006/main">
          <x14:cfRule type="expression" priority="1" id="{773E588A-8AA3-416A-882F-645C16447FF8}">
            <xm:f>'6-Income Statement Calculations'!$R$10="Y"</xm:f>
            <x14:dxf>
              <font>
                <color theme="0"/>
              </font>
            </x14:dxf>
          </x14:cfRule>
          <xm:sqref>A69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11</vt:i4>
      </vt:variant>
    </vt:vector>
  </HeadingPairs>
  <TitlesOfParts>
    <vt:vector size="19" baseType="lpstr">
      <vt:lpstr>Parameters</vt:lpstr>
      <vt:lpstr>1-Payment Pattern</vt:lpstr>
      <vt:lpstr>2-Current Curve</vt:lpstr>
      <vt:lpstr>3-Current</vt:lpstr>
      <vt:lpstr>4-Locked</vt:lpstr>
      <vt:lpstr>5-Summary</vt:lpstr>
      <vt:lpstr>6-Income Statement Calculations</vt:lpstr>
      <vt:lpstr>7-Financial Statements</vt:lpstr>
      <vt:lpstr>CompanyName</vt:lpstr>
      <vt:lpstr>Method</vt:lpstr>
      <vt:lpstr>PaymentPattern</vt:lpstr>
      <vt:lpstr>'1-Payment Pattern'!Print_Area</vt:lpstr>
      <vt:lpstr>'2-Current Curve'!Print_Area</vt:lpstr>
      <vt:lpstr>'3-Current'!Print_Area</vt:lpstr>
      <vt:lpstr>'4-Locked'!Print_Area</vt:lpstr>
      <vt:lpstr>'5-Summary'!Print_Area</vt:lpstr>
      <vt:lpstr>'6-Income Statement Calculations'!Print_Area</vt:lpstr>
      <vt:lpstr>'7-Financial Statements'!Print_Area</vt:lpstr>
      <vt:lpstr>ValDate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Chevalier 2019/02</dc:creator>
  <cp:lastModifiedBy>Nicole Langlois</cp:lastModifiedBy>
  <cp:lastPrinted>2019-05-26T15:28:04Z</cp:lastPrinted>
  <dcterms:created xsi:type="dcterms:W3CDTF">2019-02-19T11:23:26Z</dcterms:created>
  <dcterms:modified xsi:type="dcterms:W3CDTF">2020-11-26T15:42:21Z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