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iaica.sharepoint.com/sites/PCFRC/Shared Documents/Working groups/Duration EN/"/>
    </mc:Choice>
  </mc:AlternateContent>
  <xr:revisionPtr revIDLastSave="0" documentId="8_{7F67CA6F-7E87-4D5E-89A1-478D3446170A}" xr6:coauthVersionLast="47" xr6:coauthVersionMax="47" xr10:uidLastSave="{00000000-0000-0000-0000-000000000000}"/>
  <bookViews>
    <workbookView xWindow="8400" yWindow="1980" windowWidth="29760" windowHeight="18150" xr2:uid="{00000000-000D-0000-FFFF-FFFF00000000}"/>
  </bookViews>
  <sheets>
    <sheet name="App A - IRR" sheetId="18" r:id="rId1"/>
    <sheet name="App B Sh1 - LIC" sheetId="17" r:id="rId2"/>
    <sheet name="App B Sh2 - AIC" sheetId="19" r:id="rId3"/>
    <sheet name="App C Sh1 - LRC(onerous)" sheetId="21" r:id="rId4"/>
    <sheet name="App C Sh2 - LRC (non onerous)" sheetId="20" r:id="rId5"/>
    <sheet name="App C Sh3 - ARC" sheetId="22" r:id="rId6"/>
    <sheet name="App D - Alternate" sheetId="23" r:id="rId7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'App A - IRR'!$A$1:$I$54</definedName>
    <definedName name="_xlnm.Print_Area" localSheetId="1">'App B Sh1 - LIC'!$A$1:$L$76</definedName>
    <definedName name="_xlnm.Print_Area" localSheetId="2">'App B Sh2 - AIC'!$A$1:$L$76</definedName>
    <definedName name="_xlnm.Print_Area" localSheetId="3">'App C Sh1 - LRC(onerous)'!$A$1:$M$76</definedName>
    <definedName name="_xlnm.Print_Area" localSheetId="4">'App C Sh2 - LRC (non onerous)'!$A$1:$L$36</definedName>
    <definedName name="_xlnm.Print_Area" localSheetId="5">'App C Sh3 - ARC'!$A$1:$L$36</definedName>
    <definedName name="_xlnm.Print_Area" localSheetId="6">'App D - Alternate'!$A$1:$N$46</definedName>
    <definedName name="_xlnm.Print_Titles" localSheetId="1">'App B Sh1 - LIC'!$1:$1</definedName>
    <definedName name="_xlnm.Print_Titles" localSheetId="2">'App B Sh2 - AIC'!$1:$1</definedName>
    <definedName name="_xlnm.Print_Titles" localSheetId="3">'App C Sh1 - LRC(onerous)'!$1:$1</definedName>
    <definedName name="_xlnm.Print_Titles" localSheetId="4">'App C Sh2 - LRC (non onerous)'!$1:$1</definedName>
    <definedName name="_xlnm.Print_Titles" localSheetId="5">'App C Sh3 - ARC'!$1:$1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8" i="21" l="1"/>
  <c r="C57" i="19"/>
  <c r="C57" i="17"/>
  <c r="D36" i="21"/>
  <c r="C73" i="17" l="1"/>
  <c r="C74" i="17" s="1"/>
  <c r="M13" i="23"/>
  <c r="L13" i="23"/>
  <c r="K13" i="23"/>
  <c r="J13" i="23"/>
  <c r="I13" i="23"/>
  <c r="H13" i="23"/>
  <c r="G13" i="23"/>
  <c r="F13" i="23"/>
  <c r="E13" i="23"/>
  <c r="L63" i="21"/>
  <c r="K63" i="21"/>
  <c r="J63" i="21"/>
  <c r="I63" i="21"/>
  <c r="H63" i="21"/>
  <c r="G63" i="21"/>
  <c r="F63" i="21"/>
  <c r="E63" i="21"/>
  <c r="D63" i="21"/>
  <c r="L55" i="21"/>
  <c r="K55" i="21"/>
  <c r="J55" i="21"/>
  <c r="I55" i="21"/>
  <c r="H55" i="21"/>
  <c r="G55" i="21"/>
  <c r="F55" i="21"/>
  <c r="E55" i="21"/>
  <c r="D55" i="21"/>
  <c r="D51" i="21"/>
  <c r="D54" i="21"/>
  <c r="L51" i="21"/>
  <c r="K51" i="21"/>
  <c r="J51" i="21"/>
  <c r="I51" i="21"/>
  <c r="H51" i="21"/>
  <c r="G51" i="21"/>
  <c r="F51" i="21"/>
  <c r="E51" i="21"/>
  <c r="D50" i="21"/>
  <c r="L37" i="21"/>
  <c r="K37" i="21"/>
  <c r="J37" i="21"/>
  <c r="I37" i="21"/>
  <c r="H37" i="21"/>
  <c r="G37" i="21"/>
  <c r="F37" i="21"/>
  <c r="E37" i="21"/>
  <c r="D37" i="21"/>
  <c r="D34" i="21"/>
  <c r="C75" i="19" a="1"/>
  <c r="C75" i="19" s="1"/>
  <c r="C75" i="17" a="1"/>
  <c r="C75" i="17" s="1"/>
  <c r="C73" i="19"/>
  <c r="C74" i="19" s="1"/>
  <c r="B27" i="21"/>
  <c r="B26" i="21"/>
  <c r="C71" i="17"/>
  <c r="C68" i="19"/>
  <c r="K78" i="19"/>
  <c r="J78" i="19"/>
  <c r="I78" i="19"/>
  <c r="H78" i="19"/>
  <c r="G78" i="19"/>
  <c r="F78" i="19"/>
  <c r="E78" i="19"/>
  <c r="D78" i="19"/>
  <c r="C78" i="19"/>
  <c r="K77" i="19"/>
  <c r="J77" i="19"/>
  <c r="I77" i="19"/>
  <c r="H77" i="19"/>
  <c r="G77" i="19"/>
  <c r="F77" i="19"/>
  <c r="E77" i="19"/>
  <c r="D77" i="19"/>
  <c r="C70" i="19"/>
  <c r="C69" i="19"/>
  <c r="D5" i="23"/>
  <c r="D38" i="23"/>
  <c r="E30" i="23"/>
  <c r="F30" i="23" s="1"/>
  <c r="C71" i="19" l="1"/>
  <c r="E9" i="23"/>
  <c r="E15" i="20"/>
  <c r="D15" i="20"/>
  <c r="D25" i="21"/>
  <c r="K26" i="17"/>
  <c r="E42" i="21"/>
  <c r="D42" i="21"/>
  <c r="E77" i="17"/>
  <c r="D62" i="17"/>
  <c r="D77" i="17" s="1"/>
  <c r="D64" i="17"/>
  <c r="D63" i="17"/>
  <c r="E20" i="23" l="1"/>
  <c r="E25" i="23" s="1"/>
  <c r="D78" i="17"/>
  <c r="I28" i="17" l="1"/>
  <c r="I27" i="17"/>
  <c r="I15" i="22"/>
  <c r="D62" i="21" l="1"/>
  <c r="D77" i="21" s="1"/>
  <c r="I42" i="21"/>
  <c r="D35" i="21"/>
  <c r="E11" i="23" s="1"/>
  <c r="E33" i="21"/>
  <c r="C27" i="21"/>
  <c r="G26" i="21"/>
  <c r="F26" i="21"/>
  <c r="E26" i="21"/>
  <c r="D26" i="21"/>
  <c r="C25" i="21"/>
  <c r="I24" i="21"/>
  <c r="J24" i="21" s="1"/>
  <c r="K24" i="21" s="1"/>
  <c r="L24" i="21" s="1"/>
  <c r="C16" i="21"/>
  <c r="G28" i="21" s="1"/>
  <c r="K15" i="21"/>
  <c r="K16" i="21" s="1"/>
  <c r="K17" i="21" s="1"/>
  <c r="K18" i="21" s="1"/>
  <c r="K19" i="21" s="1"/>
  <c r="J15" i="21"/>
  <c r="J16" i="21" s="1"/>
  <c r="J17" i="21" s="1"/>
  <c r="J18" i="21" s="1"/>
  <c r="J19" i="21" s="1"/>
  <c r="F15" i="21"/>
  <c r="F16" i="21" s="1"/>
  <c r="F17" i="21" s="1"/>
  <c r="I15" i="20"/>
  <c r="I18" i="20" l="1"/>
  <c r="E51" i="18" s="1"/>
  <c r="F33" i="21"/>
  <c r="F9" i="23"/>
  <c r="F20" i="23" s="1"/>
  <c r="F25" i="23" s="1"/>
  <c r="E62" i="21"/>
  <c r="E77" i="21" s="1"/>
  <c r="F35" i="21"/>
  <c r="G11" i="23" s="1"/>
  <c r="G33" i="21"/>
  <c r="H9" i="23" s="1"/>
  <c r="H20" i="23" s="1"/>
  <c r="H25" i="23" s="1"/>
  <c r="F18" i="21"/>
  <c r="F19" i="21" s="1"/>
  <c r="G29" i="21"/>
  <c r="G78" i="21" s="1"/>
  <c r="D28" i="21"/>
  <c r="D29" i="21" s="1"/>
  <c r="E28" i="21"/>
  <c r="E29" i="21" s="1"/>
  <c r="E78" i="21" s="1"/>
  <c r="E35" i="21"/>
  <c r="F11" i="23" s="1"/>
  <c r="F28" i="21"/>
  <c r="H26" i="21"/>
  <c r="J18" i="20" l="1"/>
  <c r="F51" i="18" s="1"/>
  <c r="F62" i="21"/>
  <c r="F77" i="21" s="1"/>
  <c r="G9" i="23"/>
  <c r="G20" i="23" s="1"/>
  <c r="G25" i="23" s="1"/>
  <c r="G62" i="21"/>
  <c r="G77" i="21" s="1"/>
  <c r="E34" i="21"/>
  <c r="F10" i="23" s="1"/>
  <c r="F12" i="23" s="1"/>
  <c r="F14" i="23" s="1"/>
  <c r="H29" i="21"/>
  <c r="H78" i="21" s="1"/>
  <c r="G35" i="21"/>
  <c r="H11" i="23" s="1"/>
  <c r="I9" i="23"/>
  <c r="I20" i="23" s="1"/>
  <c r="I25" i="23" s="1"/>
  <c r="F29" i="21"/>
  <c r="F78" i="21" s="1"/>
  <c r="E10" i="23"/>
  <c r="E12" i="23" s="1"/>
  <c r="G34" i="21"/>
  <c r="H10" i="23" s="1"/>
  <c r="I26" i="21"/>
  <c r="C28" i="21"/>
  <c r="K11" i="19"/>
  <c r="C40" i="19"/>
  <c r="D63" i="19" s="1"/>
  <c r="F62" i="19"/>
  <c r="G62" i="19" s="1"/>
  <c r="H62" i="19" s="1"/>
  <c r="I62" i="19" s="1"/>
  <c r="J62" i="19" s="1"/>
  <c r="K62" i="19" s="1"/>
  <c r="J49" i="19"/>
  <c r="J54" i="19" s="1"/>
  <c r="I49" i="19"/>
  <c r="I54" i="19" s="1"/>
  <c r="H49" i="19"/>
  <c r="H54" i="19" s="1"/>
  <c r="G49" i="19"/>
  <c r="G54" i="19" s="1"/>
  <c r="F49" i="19"/>
  <c r="F54" i="19" s="1"/>
  <c r="E49" i="19"/>
  <c r="E54" i="19" s="1"/>
  <c r="D49" i="19"/>
  <c r="D54" i="19" s="1"/>
  <c r="B45" i="19"/>
  <c r="J26" i="19"/>
  <c r="K63" i="19" s="1"/>
  <c r="C25" i="19"/>
  <c r="H25" i="19" s="1"/>
  <c r="B25" i="19"/>
  <c r="B37" i="19" s="1"/>
  <c r="D32" i="19" s="1"/>
  <c r="E32" i="19" s="1"/>
  <c r="F32" i="19" s="1"/>
  <c r="G32" i="19" s="1"/>
  <c r="H32" i="19" s="1"/>
  <c r="I32" i="19" s="1"/>
  <c r="J32" i="19" s="1"/>
  <c r="C24" i="19"/>
  <c r="G24" i="19" s="1"/>
  <c r="C23" i="19"/>
  <c r="C22" i="19"/>
  <c r="C21" i="19"/>
  <c r="B14" i="19"/>
  <c r="B13" i="19" s="1"/>
  <c r="J12" i="19"/>
  <c r="J13" i="19" s="1"/>
  <c r="J14" i="19" s="1"/>
  <c r="J15" i="19" s="1"/>
  <c r="J16" i="19" s="1"/>
  <c r="F12" i="19"/>
  <c r="F13" i="19" s="1"/>
  <c r="F14" i="19" s="1"/>
  <c r="F15" i="19" s="1"/>
  <c r="F16" i="19" s="1"/>
  <c r="B45" i="17"/>
  <c r="H12" i="23" l="1"/>
  <c r="H14" i="23" s="1"/>
  <c r="D78" i="21"/>
  <c r="D64" i="19"/>
  <c r="E14" i="23"/>
  <c r="E54" i="21"/>
  <c r="E50" i="21"/>
  <c r="G54" i="21"/>
  <c r="G50" i="21"/>
  <c r="H62" i="21"/>
  <c r="H77" i="21" s="1"/>
  <c r="H34" i="21"/>
  <c r="I10" i="23" s="1"/>
  <c r="E36" i="21"/>
  <c r="G36" i="21"/>
  <c r="J26" i="21"/>
  <c r="F34" i="21"/>
  <c r="G10" i="23" s="1"/>
  <c r="G12" i="23" s="1"/>
  <c r="I33" i="21"/>
  <c r="J9" i="23" s="1"/>
  <c r="J20" i="23" s="1"/>
  <c r="J25" i="23" s="1"/>
  <c r="H35" i="21"/>
  <c r="I11" i="23" s="1"/>
  <c r="C26" i="19"/>
  <c r="I26" i="19"/>
  <c r="E24" i="19"/>
  <c r="E25" i="19"/>
  <c r="F24" i="19"/>
  <c r="F25" i="19"/>
  <c r="H26" i="19"/>
  <c r="D24" i="19"/>
  <c r="D22" i="19"/>
  <c r="B23" i="19"/>
  <c r="B35" i="19" s="1"/>
  <c r="B12" i="19"/>
  <c r="C54" i="19"/>
  <c r="D20" i="19"/>
  <c r="E65" i="19" s="1"/>
  <c r="D65" i="19" s="1"/>
  <c r="E22" i="19"/>
  <c r="D23" i="19"/>
  <c r="B24" i="19"/>
  <c r="B36" i="19" s="1"/>
  <c r="G25" i="19"/>
  <c r="C49" i="19"/>
  <c r="E23" i="19"/>
  <c r="D25" i="19"/>
  <c r="F23" i="19"/>
  <c r="F62" i="17"/>
  <c r="F77" i="17" s="1"/>
  <c r="J49" i="17"/>
  <c r="J54" i="17" s="1"/>
  <c r="I49" i="17"/>
  <c r="I54" i="17" s="1"/>
  <c r="H49" i="17"/>
  <c r="H54" i="17" s="1"/>
  <c r="G49" i="17"/>
  <c r="G54" i="17" s="1"/>
  <c r="F49" i="17"/>
  <c r="F54" i="17" s="1"/>
  <c r="E49" i="17"/>
  <c r="D49" i="17"/>
  <c r="D54" i="17" s="1"/>
  <c r="G14" i="23" l="1"/>
  <c r="I12" i="23"/>
  <c r="E21" i="23"/>
  <c r="E26" i="23"/>
  <c r="H21" i="23"/>
  <c r="H26" i="23"/>
  <c r="F21" i="23"/>
  <c r="F26" i="23"/>
  <c r="F54" i="21"/>
  <c r="F50" i="21"/>
  <c r="H54" i="21"/>
  <c r="H50" i="21"/>
  <c r="G62" i="17"/>
  <c r="G77" i="17" s="1"/>
  <c r="D37" i="19"/>
  <c r="I63" i="19"/>
  <c r="D34" i="19"/>
  <c r="G38" i="21"/>
  <c r="G64" i="21" s="1"/>
  <c r="E38" i="21"/>
  <c r="E64" i="21" s="1"/>
  <c r="I62" i="21"/>
  <c r="I77" i="21" s="1"/>
  <c r="D38" i="21"/>
  <c r="D64" i="21" s="1"/>
  <c r="I29" i="21"/>
  <c r="J33" i="21"/>
  <c r="K9" i="23" s="1"/>
  <c r="K20" i="23" s="1"/>
  <c r="K25" i="23" s="1"/>
  <c r="I35" i="21"/>
  <c r="J11" i="23" s="1"/>
  <c r="J29" i="21"/>
  <c r="J78" i="21" s="1"/>
  <c r="K26" i="21"/>
  <c r="F36" i="21"/>
  <c r="H36" i="21"/>
  <c r="J63" i="19"/>
  <c r="D26" i="19"/>
  <c r="D52" i="19" s="1"/>
  <c r="D53" i="19" s="1"/>
  <c r="E26" i="19"/>
  <c r="E20" i="19"/>
  <c r="D33" i="19"/>
  <c r="D36" i="19"/>
  <c r="G26" i="19"/>
  <c r="F26" i="19"/>
  <c r="D35" i="19"/>
  <c r="B11" i="19"/>
  <c r="B21" i="19" s="1"/>
  <c r="B33" i="19" s="1"/>
  <c r="B22" i="19"/>
  <c r="B34" i="19" s="1"/>
  <c r="C49" i="17"/>
  <c r="E54" i="17"/>
  <c r="C25" i="17"/>
  <c r="B25" i="17"/>
  <c r="D20" i="17" s="1"/>
  <c r="C24" i="17"/>
  <c r="F24" i="17" s="1"/>
  <c r="C23" i="17"/>
  <c r="E23" i="17" s="1"/>
  <c r="C22" i="17"/>
  <c r="C21" i="17"/>
  <c r="B14" i="17"/>
  <c r="B24" i="17" s="1"/>
  <c r="B36" i="17" s="1"/>
  <c r="K12" i="17"/>
  <c r="J12" i="17"/>
  <c r="J13" i="17" s="1"/>
  <c r="J14" i="17" s="1"/>
  <c r="F12" i="17"/>
  <c r="F13" i="17" s="1"/>
  <c r="F14" i="17" s="1"/>
  <c r="F15" i="17" s="1"/>
  <c r="F16" i="17" s="1"/>
  <c r="I78" i="21" l="1"/>
  <c r="I21" i="23"/>
  <c r="I26" i="23"/>
  <c r="G26" i="23"/>
  <c r="E20" i="17"/>
  <c r="E65" i="17"/>
  <c r="D65" i="17" s="1"/>
  <c r="H62" i="17"/>
  <c r="H63" i="19"/>
  <c r="F63" i="19"/>
  <c r="E63" i="19"/>
  <c r="G63" i="19"/>
  <c r="K13" i="17"/>
  <c r="K12" i="19"/>
  <c r="E33" i="19" s="1"/>
  <c r="H38" i="21"/>
  <c r="H64" i="21" s="1"/>
  <c r="J62" i="21"/>
  <c r="J77" i="21" s="1"/>
  <c r="F38" i="21"/>
  <c r="F64" i="21" s="1"/>
  <c r="J34" i="21"/>
  <c r="K10" i="23" s="1"/>
  <c r="K29" i="21"/>
  <c r="I34" i="21"/>
  <c r="J10" i="23" s="1"/>
  <c r="J12" i="23" s="1"/>
  <c r="L26" i="21"/>
  <c r="J35" i="21"/>
  <c r="K11" i="23" s="1"/>
  <c r="K33" i="21"/>
  <c r="L9" i="23" s="1"/>
  <c r="L20" i="23" s="1"/>
  <c r="L25" i="23" s="1"/>
  <c r="D47" i="19"/>
  <c r="D48" i="19" s="1"/>
  <c r="F20" i="19"/>
  <c r="D38" i="19"/>
  <c r="J15" i="17"/>
  <c r="J16" i="17" s="1"/>
  <c r="E33" i="17"/>
  <c r="D33" i="17"/>
  <c r="E35" i="17"/>
  <c r="B37" i="17"/>
  <c r="D32" i="17" s="1"/>
  <c r="E32" i="17" s="1"/>
  <c r="F32" i="17" s="1"/>
  <c r="G32" i="17" s="1"/>
  <c r="H32" i="17" s="1"/>
  <c r="I32" i="17" s="1"/>
  <c r="J32" i="17" s="1"/>
  <c r="K32" i="17" s="1"/>
  <c r="E22" i="17"/>
  <c r="E34" i="17" s="1"/>
  <c r="D23" i="17"/>
  <c r="D35" i="17" s="1"/>
  <c r="F23" i="17"/>
  <c r="D22" i="17"/>
  <c r="D34" i="17" s="1"/>
  <c r="D25" i="17"/>
  <c r="D37" i="17" s="1"/>
  <c r="E25" i="17"/>
  <c r="E37" i="17" s="1"/>
  <c r="C26" i="17"/>
  <c r="G25" i="17"/>
  <c r="B13" i="17"/>
  <c r="D24" i="17"/>
  <c r="D36" i="17" s="1"/>
  <c r="I26" i="17"/>
  <c r="E24" i="17"/>
  <c r="E36" i="17" s="1"/>
  <c r="G24" i="17"/>
  <c r="J26" i="17"/>
  <c r="F25" i="17"/>
  <c r="H25" i="17"/>
  <c r="G21" i="23" l="1"/>
  <c r="J14" i="23"/>
  <c r="K12" i="23"/>
  <c r="I14" i="23"/>
  <c r="E34" i="19"/>
  <c r="I62" i="17"/>
  <c r="H77" i="17"/>
  <c r="K63" i="17"/>
  <c r="K78" i="17" s="1"/>
  <c r="J63" i="17"/>
  <c r="J78" i="17" s="1"/>
  <c r="E47" i="19"/>
  <c r="E48" i="19" s="1"/>
  <c r="F65" i="19"/>
  <c r="E52" i="19"/>
  <c r="E53" i="19" s="1"/>
  <c r="F20" i="17"/>
  <c r="F65" i="17"/>
  <c r="J54" i="21"/>
  <c r="J50" i="21"/>
  <c r="I54" i="21"/>
  <c r="I50" i="21"/>
  <c r="E36" i="19"/>
  <c r="E37" i="19"/>
  <c r="E35" i="19"/>
  <c r="K14" i="17"/>
  <c r="K13" i="19"/>
  <c r="K62" i="21"/>
  <c r="K77" i="21" s="1"/>
  <c r="K34" i="21"/>
  <c r="L10" i="23" s="1"/>
  <c r="J36" i="21"/>
  <c r="C26" i="21"/>
  <c r="I36" i="21"/>
  <c r="K35" i="21"/>
  <c r="L11" i="23" s="1"/>
  <c r="L33" i="21"/>
  <c r="M9" i="23" s="1"/>
  <c r="M20" i="23" s="1"/>
  <c r="M25" i="23" s="1"/>
  <c r="D39" i="19"/>
  <c r="E64" i="19" s="1"/>
  <c r="C63" i="19"/>
  <c r="G20" i="19"/>
  <c r="D26" i="17"/>
  <c r="E26" i="17"/>
  <c r="E38" i="17"/>
  <c r="F26" i="17"/>
  <c r="G26" i="17"/>
  <c r="B12" i="17"/>
  <c r="B23" i="17"/>
  <c r="B35" i="17" s="1"/>
  <c r="H26" i="17"/>
  <c r="K78" i="21" l="1"/>
  <c r="L12" i="23"/>
  <c r="L14" i="23" s="1"/>
  <c r="J21" i="23"/>
  <c r="J26" i="23"/>
  <c r="K21" i="23"/>
  <c r="K26" i="23"/>
  <c r="F35" i="19"/>
  <c r="F52" i="19"/>
  <c r="F53" i="19" s="1"/>
  <c r="G65" i="19"/>
  <c r="H63" i="17"/>
  <c r="H78" i="17" s="1"/>
  <c r="G20" i="17"/>
  <c r="G35" i="17" s="1"/>
  <c r="G65" i="17"/>
  <c r="F33" i="17"/>
  <c r="F36" i="17"/>
  <c r="F34" i="17"/>
  <c r="F36" i="19"/>
  <c r="F37" i="19"/>
  <c r="G63" i="17"/>
  <c r="G78" i="17" s="1"/>
  <c r="F52" i="17"/>
  <c r="F53" i="17" s="1"/>
  <c r="F47" i="17"/>
  <c r="F48" i="17" s="1"/>
  <c r="F63" i="17"/>
  <c r="F78" i="17" s="1"/>
  <c r="E52" i="17"/>
  <c r="E53" i="17" s="1"/>
  <c r="E47" i="17"/>
  <c r="E48" i="17" s="1"/>
  <c r="I63" i="17"/>
  <c r="I78" i="17" s="1"/>
  <c r="E63" i="17"/>
  <c r="E78" i="17" s="1"/>
  <c r="D47" i="17"/>
  <c r="D48" i="17" s="1"/>
  <c r="D52" i="17"/>
  <c r="D53" i="17" s="1"/>
  <c r="F35" i="17"/>
  <c r="J62" i="17"/>
  <c r="I77" i="17"/>
  <c r="F37" i="17"/>
  <c r="K54" i="21"/>
  <c r="K50" i="21"/>
  <c r="E38" i="19"/>
  <c r="E39" i="19" s="1"/>
  <c r="F64" i="19" s="1"/>
  <c r="F47" i="19"/>
  <c r="F48" i="19" s="1"/>
  <c r="K15" i="17"/>
  <c r="K14" i="19"/>
  <c r="G36" i="19" s="1"/>
  <c r="L62" i="21"/>
  <c r="L77" i="21" s="1"/>
  <c r="J38" i="21"/>
  <c r="J64" i="21" s="1"/>
  <c r="L35" i="21"/>
  <c r="M11" i="23" s="1"/>
  <c r="C29" i="21"/>
  <c r="L29" i="21"/>
  <c r="K36" i="21"/>
  <c r="I38" i="21"/>
  <c r="I64" i="21" s="1"/>
  <c r="E39" i="17"/>
  <c r="F64" i="17" s="1"/>
  <c r="C33" i="19"/>
  <c r="H20" i="19"/>
  <c r="D38" i="17"/>
  <c r="B22" i="17"/>
  <c r="B34" i="17" s="1"/>
  <c r="B11" i="17"/>
  <c r="L21" i="23" l="1"/>
  <c r="L26" i="23"/>
  <c r="F38" i="19"/>
  <c r="F39" i="19" s="1"/>
  <c r="G64" i="19" s="1"/>
  <c r="K14" i="23"/>
  <c r="G47" i="17"/>
  <c r="G48" i="17" s="1"/>
  <c r="G37" i="17"/>
  <c r="G37" i="19"/>
  <c r="H65" i="19"/>
  <c r="G52" i="19"/>
  <c r="G53" i="19" s="1"/>
  <c r="G52" i="17"/>
  <c r="G53" i="17" s="1"/>
  <c r="K62" i="17"/>
  <c r="K77" i="17" s="1"/>
  <c r="J77" i="17"/>
  <c r="C33" i="17"/>
  <c r="F38" i="17"/>
  <c r="F39" i="17" s="1"/>
  <c r="G64" i="17" s="1"/>
  <c r="H20" i="17"/>
  <c r="H37" i="17" s="1"/>
  <c r="H65" i="17"/>
  <c r="G34" i="17"/>
  <c r="C34" i="17" s="1"/>
  <c r="G36" i="17"/>
  <c r="G47" i="19"/>
  <c r="G48" i="19" s="1"/>
  <c r="K16" i="17"/>
  <c r="K15" i="19"/>
  <c r="K38" i="21"/>
  <c r="K64" i="21" s="1"/>
  <c r="L34" i="21"/>
  <c r="M10" i="23" s="1"/>
  <c r="M12" i="23" s="1"/>
  <c r="D39" i="17"/>
  <c r="E64" i="17" s="1"/>
  <c r="G38" i="19"/>
  <c r="G39" i="19" s="1"/>
  <c r="H64" i="19" s="1"/>
  <c r="C34" i="19"/>
  <c r="I20" i="19"/>
  <c r="C63" i="17"/>
  <c r="B21" i="17"/>
  <c r="B33" i="17" s="1"/>
  <c r="L78" i="21" l="1"/>
  <c r="C69" i="21"/>
  <c r="D12" i="23"/>
  <c r="I20" i="17"/>
  <c r="I65" i="17"/>
  <c r="H47" i="17"/>
  <c r="H48" i="17" s="1"/>
  <c r="H52" i="17"/>
  <c r="H53" i="17" s="1"/>
  <c r="H35" i="17"/>
  <c r="C35" i="17" s="1"/>
  <c r="H36" i="17"/>
  <c r="H38" i="17" s="1"/>
  <c r="H37" i="19"/>
  <c r="H38" i="19" s="1"/>
  <c r="H52" i="19"/>
  <c r="H53" i="19" s="1"/>
  <c r="I65" i="19"/>
  <c r="G38" i="17"/>
  <c r="G39" i="17" s="1"/>
  <c r="H64" i="17" s="1"/>
  <c r="L36" i="21"/>
  <c r="C37" i="21" s="1"/>
  <c r="L50" i="21"/>
  <c r="L54" i="21"/>
  <c r="C63" i="21"/>
  <c r="H47" i="19"/>
  <c r="H48" i="19" s="1"/>
  <c r="K16" i="19"/>
  <c r="I36" i="17"/>
  <c r="I37" i="17"/>
  <c r="C34" i="21"/>
  <c r="C36" i="21"/>
  <c r="J20" i="19"/>
  <c r="C35" i="19"/>
  <c r="C54" i="17"/>
  <c r="M26" i="23" l="1"/>
  <c r="D26" i="23" s="1"/>
  <c r="C51" i="21"/>
  <c r="M14" i="23"/>
  <c r="D13" i="23"/>
  <c r="D14" i="23" s="1"/>
  <c r="C36" i="17"/>
  <c r="I52" i="19"/>
  <c r="I53" i="19" s="1"/>
  <c r="K65" i="19"/>
  <c r="J65" i="19"/>
  <c r="J52" i="19"/>
  <c r="J53" i="19" s="1"/>
  <c r="J20" i="17"/>
  <c r="J65" i="17"/>
  <c r="I52" i="17"/>
  <c r="I53" i="17" s="1"/>
  <c r="I47" i="17"/>
  <c r="I48" i="17" s="1"/>
  <c r="J47" i="19"/>
  <c r="J48" i="19" s="1"/>
  <c r="I38" i="17"/>
  <c r="I39" i="17" s="1"/>
  <c r="J64" i="17" s="1"/>
  <c r="I47" i="19"/>
  <c r="I48" i="19" s="1"/>
  <c r="H39" i="17"/>
  <c r="C38" i="21"/>
  <c r="L38" i="21"/>
  <c r="L64" i="21" s="1"/>
  <c r="C55" i="21"/>
  <c r="C54" i="21"/>
  <c r="C50" i="21"/>
  <c r="H39" i="19"/>
  <c r="I64" i="19" s="1"/>
  <c r="I38" i="19"/>
  <c r="I39" i="19" s="1"/>
  <c r="J64" i="19" s="1"/>
  <c r="C36" i="19"/>
  <c r="C64" i="21" l="1"/>
  <c r="C75" i="21" s="1" a="1"/>
  <c r="C75" i="21" s="1"/>
  <c r="C70" i="21"/>
  <c r="C48" i="21"/>
  <c r="I43" i="21"/>
  <c r="I44" i="21" s="1"/>
  <c r="I17" i="22" s="1"/>
  <c r="M21" i="23"/>
  <c r="D21" i="23" s="1"/>
  <c r="D23" i="23" s="1"/>
  <c r="E31" i="23" s="1"/>
  <c r="D44" i="23"/>
  <c r="D16" i="23"/>
  <c r="D32" i="23"/>
  <c r="D28" i="23"/>
  <c r="F31" i="23" s="1"/>
  <c r="F32" i="23"/>
  <c r="K20" i="17"/>
  <c r="K65" i="17"/>
  <c r="J52" i="17"/>
  <c r="J53" i="17" s="1"/>
  <c r="C53" i="17" s="1"/>
  <c r="J47" i="17"/>
  <c r="J48" i="17" s="1"/>
  <c r="C48" i="17" s="1"/>
  <c r="J37" i="17"/>
  <c r="C52" i="21"/>
  <c r="C52" i="19"/>
  <c r="C53" i="19"/>
  <c r="I64" i="17"/>
  <c r="C56" i="21"/>
  <c r="C48" i="19"/>
  <c r="C47" i="19"/>
  <c r="J38" i="19"/>
  <c r="C37" i="19"/>
  <c r="E50" i="18" l="1"/>
  <c r="C73" i="21"/>
  <c r="F50" i="18"/>
  <c r="I18" i="22"/>
  <c r="D25" i="18" s="1"/>
  <c r="E32" i="23"/>
  <c r="C78" i="21"/>
  <c r="C68" i="21" s="1"/>
  <c r="C71" i="21" s="1"/>
  <c r="G32" i="23"/>
  <c r="E44" i="23" s="1"/>
  <c r="E45" i="23" s="1"/>
  <c r="D31" i="23"/>
  <c r="G31" i="23" s="1"/>
  <c r="D39" i="23"/>
  <c r="D45" i="23"/>
  <c r="J38" i="17"/>
  <c r="C37" i="17"/>
  <c r="C52" i="17"/>
  <c r="C55" i="17" s="1"/>
  <c r="C47" i="17"/>
  <c r="C50" i="17" s="1"/>
  <c r="C55" i="19"/>
  <c r="E52" i="18"/>
  <c r="J39" i="19"/>
  <c r="K64" i="19" s="1"/>
  <c r="C50" i="19"/>
  <c r="C38" i="19"/>
  <c r="C74" i="21" l="1"/>
  <c r="E39" i="23"/>
  <c r="J17" i="22"/>
  <c r="J18" i="22" s="1"/>
  <c r="D30" i="18"/>
  <c r="F52" i="18"/>
  <c r="E30" i="18" s="1"/>
  <c r="D40" i="23"/>
  <c r="E40" i="23"/>
  <c r="J39" i="17"/>
  <c r="C38" i="17"/>
  <c r="C39" i="19"/>
  <c r="C41" i="19" s="1"/>
  <c r="C64" i="19"/>
  <c r="G30" i="18" l="1"/>
  <c r="E25" i="18"/>
  <c r="G25" i="18" s="1"/>
  <c r="K64" i="17"/>
  <c r="C39" i="17"/>
  <c r="C41" i="17" s="1"/>
  <c r="F30" i="18"/>
  <c r="C45" i="19"/>
  <c r="D24" i="18"/>
  <c r="F25" i="18" l="1"/>
  <c r="D29" i="18"/>
  <c r="D35" i="18" s="1"/>
  <c r="C45" i="17"/>
  <c r="E29" i="18" s="1"/>
  <c r="E24" i="18"/>
  <c r="C64" i="17"/>
  <c r="C78" i="17" s="1"/>
  <c r="C68" i="17" s="1"/>
  <c r="D27" i="18"/>
  <c r="F24" i="18" l="1"/>
  <c r="F27" i="18" s="1"/>
  <c r="G24" i="18"/>
  <c r="G27" i="18" s="1"/>
  <c r="F29" i="18"/>
  <c r="F35" i="18" s="1"/>
  <c r="G29" i="18"/>
  <c r="G35" i="18" s="1"/>
  <c r="G42" i="18" l="1"/>
  <c r="F41" i="18"/>
  <c r="G43" i="18" l="1"/>
  <c r="C70" i="17"/>
  <c r="C69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<sst xmlns="http://schemas.openxmlformats.org/spreadsheetml/2006/main" count="420" uniqueCount="235">
  <si>
    <t>Appendix</t>
  </si>
  <si>
    <t>A</t>
  </si>
  <si>
    <t>Sheet</t>
  </si>
  <si>
    <t>Canadian/Foreign Insurer</t>
  </si>
  <si>
    <t>Date</t>
  </si>
  <si>
    <t>MCT (BAAT) MARKET RISK: CAPITAL (MARGIN) REQUIREMENTS</t>
  </si>
  <si>
    <t>($000, except percentages)</t>
  </si>
  <si>
    <t>Capital (Margin) Required for Interest Rate Risk</t>
  </si>
  <si>
    <t>Fair value</t>
  </si>
  <si>
    <t>Modified or effective duration</t>
  </si>
  <si>
    <t>Dollar fair value change
(02)x(04)xΔy</t>
  </si>
  <si>
    <t>Dollar fair value change
(02)x(04)x(-Δy)</t>
  </si>
  <si>
    <t>(01)</t>
  </si>
  <si>
    <t>(02)</t>
  </si>
  <si>
    <t>(04)</t>
  </si>
  <si>
    <t>(06)</t>
  </si>
  <si>
    <t>(08)</t>
  </si>
  <si>
    <t>Interest rate sensitive assets:</t>
  </si>
  <si>
    <t xml:space="preserve">   Term deposits</t>
  </si>
  <si>
    <t>001</t>
  </si>
  <si>
    <t xml:space="preserve">   Bonds and debentures</t>
  </si>
  <si>
    <t>005</t>
  </si>
  <si>
    <t xml:space="preserve">   Commercial paper</t>
  </si>
  <si>
    <t>010</t>
  </si>
  <si>
    <t xml:space="preserve">   Loans</t>
  </si>
  <si>
    <t>015</t>
  </si>
  <si>
    <t xml:space="preserve">   Mortgages</t>
  </si>
  <si>
    <t>020</t>
  </si>
  <si>
    <t xml:space="preserve">   MBS and ABS</t>
  </si>
  <si>
    <t>025</t>
  </si>
  <si>
    <t xml:space="preserve">   Preferred shares</t>
  </si>
  <si>
    <t>030</t>
  </si>
  <si>
    <t xml:space="preserve">   Interest rate derivatives held for other than hedging purposes</t>
  </si>
  <si>
    <t>035</t>
  </si>
  <si>
    <t xml:space="preserve">   Insurance contracts issued - Assets for incurred claims (AIC)</t>
  </si>
  <si>
    <t>040</t>
  </si>
  <si>
    <t xml:space="preserve">   Insurance contracts issued - Assets for remaining coverage (ARC)</t>
  </si>
  <si>
    <t>041</t>
  </si>
  <si>
    <t xml:space="preserve">   Reinsurance contracts held - Assets for incurred claims (AIC)</t>
  </si>
  <si>
    <t>042</t>
  </si>
  <si>
    <t xml:space="preserve">   Reinsurance contracts held - Assets for remaining coverage (ARC)</t>
  </si>
  <si>
    <t>045</t>
  </si>
  <si>
    <t xml:space="preserve">   Other (specify)</t>
  </si>
  <si>
    <t>050</t>
  </si>
  <si>
    <t>Total interest rate sensitive assets</t>
  </si>
  <si>
    <t>055</t>
  </si>
  <si>
    <t>Interest rate sensitive liabilities:</t>
  </si>
  <si>
    <t>060</t>
  </si>
  <si>
    <t xml:space="preserve">   Insurance contracts issued - Liabilities for remaining coverage (LRC)</t>
  </si>
  <si>
    <t>065</t>
  </si>
  <si>
    <t xml:space="preserve">   Reinsurance contracts held - Liabilities for incurred claims (LIC)</t>
  </si>
  <si>
    <t>070</t>
  </si>
  <si>
    <t xml:space="preserve">   Reinsurance contracts held - Liabilities for remaining coverage (LRC)</t>
  </si>
  <si>
    <t>071</t>
  </si>
  <si>
    <t xml:space="preserve">   Other as approved by the regulator</t>
  </si>
  <si>
    <t>075</t>
  </si>
  <si>
    <t>080</t>
  </si>
  <si>
    <t>Total interest rate sensitive liabilities</t>
  </si>
  <si>
    <t>085</t>
  </si>
  <si>
    <t>Notional value</t>
  </si>
  <si>
    <t>Dollar fair value Δy</t>
  </si>
  <si>
    <t>Dollar fair value -Δy</t>
  </si>
  <si>
    <t>Allowable interest rate derivatives:</t>
  </si>
  <si>
    <t>(10)</t>
  </si>
  <si>
    <t>(12)</t>
  </si>
  <si>
    <t>(14)</t>
  </si>
  <si>
    <t xml:space="preserve">   Long positions</t>
  </si>
  <si>
    <t>090</t>
  </si>
  <si>
    <t xml:space="preserve">   Short positions</t>
  </si>
  <si>
    <t>095</t>
  </si>
  <si>
    <t>Total allowable interest rate derivatives</t>
  </si>
  <si>
    <t>100</t>
  </si>
  <si>
    <t>Capital required for Δy shock increase</t>
  </si>
  <si>
    <t>105</t>
  </si>
  <si>
    <t>Capital required for Δy shock decrease</t>
  </si>
  <si>
    <t>110</t>
  </si>
  <si>
    <t>Total interest rate risk margin 
(Maximum of capital required for Δy shock increase / decrease)</t>
  </si>
  <si>
    <t>115</t>
  </si>
  <si>
    <t>Note:</t>
  </si>
  <si>
    <t>042 from tab App B Sh2</t>
  </si>
  <si>
    <t>044 from tab App C Sh3</t>
  </si>
  <si>
    <t>060 from tab App B Sh1</t>
  </si>
  <si>
    <t>Effective</t>
  </si>
  <si>
    <t>065 from tab App C Sh1 &amp; Sh2; weighted average is calculated on the right</t>
  </si>
  <si>
    <t>Portfolio</t>
  </si>
  <si>
    <t>LRC</t>
  </si>
  <si>
    <t>Duration</t>
  </si>
  <si>
    <t>Source</t>
  </si>
  <si>
    <t>Onerous</t>
  </si>
  <si>
    <t>App C Sht1</t>
  </si>
  <si>
    <t>Non-Onerous</t>
  </si>
  <si>
    <t>App C Sht2</t>
  </si>
  <si>
    <t>Total</t>
  </si>
  <si>
    <t>B</t>
  </si>
  <si>
    <t>Assumptions</t>
  </si>
  <si>
    <t xml:space="preserve"> - Assumed claims will be paid in the middle of the year</t>
  </si>
  <si>
    <t xml:space="preserve"> - Assumed margin approach will be used for RA</t>
  </si>
  <si>
    <t xml:space="preserve"> - Assumed other cash flows (e.g. claim or commission payables) are non interest sensitive</t>
  </si>
  <si>
    <t>Undiscounted Future CFs by Accident Year</t>
  </si>
  <si>
    <t>Accident Year Payment Pattern</t>
  </si>
  <si>
    <t>Discount Curve</t>
  </si>
  <si>
    <t>Accident Year</t>
  </si>
  <si>
    <t>Portfolio 1</t>
  </si>
  <si>
    <t>Age</t>
  </si>
  <si>
    <t>Year</t>
  </si>
  <si>
    <t>Rate</t>
  </si>
  <si>
    <t>Step 1: Future Payment for Liability for Incurred Claims (LIC)</t>
  </si>
  <si>
    <t>Paid in</t>
  </si>
  <si>
    <t>undisc FCF</t>
  </si>
  <si>
    <t>Formula:</t>
  </si>
  <si>
    <t>Payout for AY 2023 @ 2024 = 2500 / (1-35%) * (70% - 35%)</t>
  </si>
  <si>
    <t>Check</t>
  </si>
  <si>
    <t>Payout for AY 2023 @ 2025 = 2500 / (1-35%) * (80% - 70%)</t>
  </si>
  <si>
    <t>Step 2: Discounted Future Cash Flow (FCF)</t>
  </si>
  <si>
    <t>FCF</t>
  </si>
  <si>
    <t>RA</t>
  </si>
  <si>
    <t>Other CF</t>
  </si>
  <si>
    <t>LIC</t>
  </si>
  <si>
    <t>Effective Duration:</t>
  </si>
  <si>
    <r>
      <t>V</t>
    </r>
    <r>
      <rPr>
        <vertAlign val="subscript"/>
        <sz val="10"/>
        <color theme="1"/>
        <rFont val="Arial"/>
        <family val="2"/>
      </rPr>
      <t>0</t>
    </r>
  </si>
  <si>
    <r>
      <t>V</t>
    </r>
    <r>
      <rPr>
        <vertAlign val="subscript"/>
        <sz val="10"/>
        <color theme="1"/>
        <rFont val="Arial"/>
        <family val="2"/>
      </rPr>
      <t>+0.10%</t>
    </r>
  </si>
  <si>
    <t>Disc FCF</t>
  </si>
  <si>
    <r>
      <t>LIC</t>
    </r>
    <r>
      <rPr>
        <vertAlign val="subscript"/>
        <sz val="10"/>
        <color theme="1"/>
        <rFont val="Arial"/>
        <family val="2"/>
      </rPr>
      <t>+0.10%</t>
    </r>
  </si>
  <si>
    <r>
      <t>V-0</t>
    </r>
    <r>
      <rPr>
        <vertAlign val="subscript"/>
        <sz val="10"/>
        <color theme="1"/>
        <rFont val="Arial"/>
        <family val="2"/>
      </rPr>
      <t>.10%</t>
    </r>
  </si>
  <si>
    <r>
      <t>LIC</t>
    </r>
    <r>
      <rPr>
        <vertAlign val="subscript"/>
        <sz val="10"/>
        <color theme="1"/>
        <rFont val="Arial"/>
        <family val="2"/>
      </rPr>
      <t>-0.10%</t>
    </r>
  </si>
  <si>
    <t>Effective Duration</t>
  </si>
  <si>
    <r>
      <t>=(V</t>
    </r>
    <r>
      <rPr>
        <vertAlign val="subscript"/>
        <sz val="10"/>
        <color theme="1"/>
        <rFont val="Arial"/>
        <family val="2"/>
      </rPr>
      <t>+0.10%</t>
    </r>
    <r>
      <rPr>
        <sz val="10"/>
        <color theme="1"/>
        <rFont val="Arial"/>
        <family val="2"/>
      </rPr>
      <t xml:space="preserve"> - V</t>
    </r>
    <r>
      <rPr>
        <vertAlign val="subscript"/>
        <sz val="10"/>
        <color theme="1"/>
        <rFont val="Arial"/>
        <family val="2"/>
      </rPr>
      <t>-0.10%</t>
    </r>
    <r>
      <rPr>
        <sz val="10"/>
        <color theme="1"/>
        <rFont val="Arial"/>
        <family val="2"/>
      </rPr>
      <t>) / (V</t>
    </r>
    <r>
      <rPr>
        <vertAlign val="subscript"/>
        <sz val="10"/>
        <color theme="1"/>
        <rFont val="Arial"/>
        <family val="2"/>
      </rPr>
      <t xml:space="preserve">0 </t>
    </r>
    <r>
      <rPr>
        <sz val="10"/>
        <color theme="1"/>
        <rFont val="Arial"/>
        <family val="2"/>
      </rPr>
      <t>x 2 x 0.10%)</t>
    </r>
  </si>
  <si>
    <t>Modified Duration:</t>
  </si>
  <si>
    <t>Undisc CF incl. RA</t>
  </si>
  <si>
    <t>Disc CF incl. RA</t>
  </si>
  <si>
    <t>Implied Single Rate</t>
  </si>
  <si>
    <t>Convergence</t>
  </si>
  <si>
    <t>Wtd Avg - Undisc CF</t>
  </si>
  <si>
    <t>Wtd Avg - Disc CF</t>
  </si>
  <si>
    <t>Selected Single Rate</t>
  </si>
  <si>
    <t>Modified Duration</t>
  </si>
  <si>
    <t>Duration of  Reinsurance contracts held - Assets for incurred claims (AIC)</t>
  </si>
  <si>
    <t xml:space="preserve"> - Assumed claims will be reimbursed (by reinsurer) in the middle of the year</t>
  </si>
  <si>
    <t xml:space="preserve"> - Assumed other cash flows (e.g. reinsurance claim or commission receivables) are non interest sensitive</t>
  </si>
  <si>
    <t>Future Cash Flow as at December 31, 2023</t>
  </si>
  <si>
    <t>Step 1: Future Payment for LIC</t>
  </si>
  <si>
    <t>Payout for AY 2023 @ 2026 = 1000 / (1-0%) * (40% - 0%)</t>
  </si>
  <si>
    <t>Payout for AY 2023 @ 2027 = 1000 / (1-0%) * (60% - 40%)</t>
  </si>
  <si>
    <t>Other CF*</t>
  </si>
  <si>
    <t xml:space="preserve"> </t>
  </si>
  <si>
    <t>Duration of  Insurance contracts issued (Onerous) - Liability for Remaining Coverage</t>
  </si>
  <si>
    <t>C</t>
  </si>
  <si>
    <t xml:space="preserve"> - Assumed this group of contracts is onerous</t>
  </si>
  <si>
    <r>
      <t xml:space="preserve"> - The liability for remaining coverage is measured under </t>
    </r>
    <r>
      <rPr>
        <u/>
        <sz val="10"/>
        <color theme="1"/>
        <rFont val="Arial"/>
        <family val="2"/>
      </rPr>
      <t>premium allocation approach (PAA)</t>
    </r>
  </si>
  <si>
    <t xml:space="preserve"> - Total written premiums for the year = $3,000; collected $2,900 as of 12.31.2023</t>
  </si>
  <si>
    <t xml:space="preserve"> - 50% earned (revenue) at the end of the year. </t>
  </si>
  <si>
    <t xml:space="preserve"> - $0 insurance acquisition cost &amp; 2% Maintenance Cost</t>
  </si>
  <si>
    <t>Unearned Insurance Revenue</t>
  </si>
  <si>
    <t>Premium Receivable</t>
  </si>
  <si>
    <t>Future Claims &amp; Claims Exp.</t>
  </si>
  <si>
    <t>Maintenance Cost (1 year left)</t>
  </si>
  <si>
    <t>Ins. Acquisition Cash Flow</t>
  </si>
  <si>
    <t>Step 1:  Calculate Future Cash Flow (undiscounted)</t>
  </si>
  <si>
    <t>2024Q1</t>
  </si>
  <si>
    <t>2024Q2</t>
  </si>
  <si>
    <t>2024Q3</t>
  </si>
  <si>
    <t>2024Q4</t>
  </si>
  <si>
    <t>Premium Received</t>
  </si>
  <si>
    <t>IACF</t>
  </si>
  <si>
    <t>Step 2: Calculate Fulfilment Cash Flow (Discounted + RA)</t>
  </si>
  <si>
    <t>Time</t>
  </si>
  <si>
    <t>Undiscounted CFs</t>
  </si>
  <si>
    <t>Present value factors</t>
  </si>
  <si>
    <t>Present Value of CFs</t>
  </si>
  <si>
    <t>Risk Adjustment</t>
  </si>
  <si>
    <t>Beginning</t>
  </si>
  <si>
    <t>Premium</t>
  </si>
  <si>
    <t>Insurance</t>
  </si>
  <si>
    <t>Paid</t>
  </si>
  <si>
    <t>Amortized</t>
  </si>
  <si>
    <t>Inv.</t>
  </si>
  <si>
    <t>Ending</t>
  </si>
  <si>
    <t>Received</t>
  </si>
  <si>
    <t>Revenue</t>
  </si>
  <si>
    <t>component</t>
  </si>
  <si>
    <t>PAA Approach</t>
  </si>
  <si>
    <t>Loss Component</t>
  </si>
  <si>
    <t>Duration of  Insurance contracts issued (Non-Onerous) - Liability for Remaining Coverage</t>
  </si>
  <si>
    <r>
      <t xml:space="preserve"> - Assumed this group of contracts is </t>
    </r>
    <r>
      <rPr>
        <u/>
        <sz val="10"/>
        <color theme="1"/>
        <rFont val="Arial"/>
        <family val="2"/>
      </rPr>
      <t>NOT</t>
    </r>
    <r>
      <rPr>
        <sz val="10"/>
        <color theme="1"/>
        <rFont val="Arial"/>
        <family val="2"/>
      </rPr>
      <t xml:space="preserve"> onerous</t>
    </r>
  </si>
  <si>
    <t xml:space="preserve"> - $0 insurance acquisition cost. </t>
  </si>
  <si>
    <t>Step 1: Calculate LRC</t>
  </si>
  <si>
    <t xml:space="preserve">LRC/ARC under PAA is not adjusted to reflect the time value of money; therefore, the duration is assumed to be zero. </t>
  </si>
  <si>
    <t>Duration of  Reinsurance contracts held (Non-Onerous) - Asset for Remaining Coverage</t>
  </si>
  <si>
    <t>Year-end Information</t>
  </si>
  <si>
    <t xml:space="preserve"> - This excess of loss treaty provides coverage from July 2023 to June 2024 covering both groups of contracts in App C Sheet 1 and 2</t>
  </si>
  <si>
    <r>
      <t xml:space="preserve"> - Measured under </t>
    </r>
    <r>
      <rPr>
        <u/>
        <sz val="10"/>
        <color theme="1"/>
        <rFont val="Arial"/>
        <family val="2"/>
      </rPr>
      <t>premium allocation approach (PAA)</t>
    </r>
  </si>
  <si>
    <t xml:space="preserve"> - Total premium for the coverage = $2,000; paid 3 instalments of $500 each as of 12.31.2023</t>
  </si>
  <si>
    <t>Reins.</t>
  </si>
  <si>
    <t>Allocation</t>
  </si>
  <si>
    <t>ARC</t>
  </si>
  <si>
    <t>of Paid</t>
  </si>
  <si>
    <t>Duration of  Insurance contracts issued (Onerous) - Liability for Remaining Coverage (Alternate Approach)</t>
  </si>
  <si>
    <t>D</t>
  </si>
  <si>
    <t xml:space="preserve"> - See App C Sh 1 - LRC (Onerous) tab</t>
  </si>
  <si>
    <t xml:space="preserve"> - Risk Adjustment</t>
  </si>
  <si>
    <t>Step 1:  Calculate LRC using GMA</t>
  </si>
  <si>
    <t>Undiscoutned CFs</t>
  </si>
  <si>
    <t>Discounted CFs</t>
  </si>
  <si>
    <t>PAA LRC</t>
  </si>
  <si>
    <t>Step 2:  Effective Duration for LC only</t>
  </si>
  <si>
    <t>Eff. Duration</t>
  </si>
  <si>
    <t>Effective Duration of LC only</t>
  </si>
  <si>
    <t>Effective Duration of FCF</t>
  </si>
  <si>
    <t>Step 3:  Input for Interest Rate Risk</t>
  </si>
  <si>
    <t>Alternate Approach:</t>
  </si>
  <si>
    <t>$</t>
  </si>
  <si>
    <t>LRC excl. LC</t>
  </si>
  <si>
    <t>LC only</t>
  </si>
  <si>
    <t>Total LRC</t>
  </si>
  <si>
    <t>Check:</t>
  </si>
  <si>
    <t>LRC excl LC + LC</t>
  </si>
  <si>
    <r>
      <t>LRC</t>
    </r>
    <r>
      <rPr>
        <vertAlign val="subscript"/>
        <sz val="10"/>
        <color theme="1"/>
        <rFont val="Arial"/>
        <family val="2"/>
      </rPr>
      <t>+0.10%</t>
    </r>
  </si>
  <si>
    <r>
      <t>LRC-</t>
    </r>
    <r>
      <rPr>
        <vertAlign val="subscript"/>
        <sz val="10"/>
        <color theme="1"/>
        <rFont val="Arial"/>
        <family val="2"/>
      </rPr>
      <t>0.10%</t>
    </r>
  </si>
  <si>
    <r>
      <t>V</t>
    </r>
    <r>
      <rPr>
        <vertAlign val="subscript"/>
        <sz val="10"/>
        <color theme="1"/>
        <rFont val="Arial"/>
        <family val="2"/>
      </rPr>
      <t>-0.10%</t>
    </r>
  </si>
  <si>
    <t>Undisc FCF</t>
  </si>
  <si>
    <t>Loss Recovery Component</t>
  </si>
  <si>
    <t xml:space="preserve"> - 25% of the claims from underlying onerous insurance contracts (App C Sheet 1) are assumed to be ceded under this reinsurance contract</t>
  </si>
  <si>
    <t>Step 1: Calculate ARC</t>
  </si>
  <si>
    <t>ARC incl. LRECC</t>
  </si>
  <si>
    <t>Macaulay Duration</t>
  </si>
  <si>
    <t>LRC incl. LC</t>
  </si>
  <si>
    <t>Maintenance Cost</t>
  </si>
  <si>
    <t>GMA Approach</t>
  </si>
  <si>
    <t>GMA LRC</t>
  </si>
  <si>
    <t>The duration of the Loss Recovery Component is assumed equal to that of the associated Loss Component,</t>
  </si>
  <si>
    <t>but it may not always be the case (e.g., Excess of Loss, Aggregate Stop Loss)</t>
  </si>
  <si>
    <t>Notes:</t>
  </si>
  <si>
    <t xml:space="preserve">   Insurance contracts issued - Liabilities for incurred claims (LIC)</t>
  </si>
  <si>
    <t xml:space="preserve">Duration of  Insurance contracts issued - Liability for Incurred Claims </t>
  </si>
  <si>
    <t>Alt Modified Duration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</si>
</sst>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.00_-;_-* #,##0.00\-;_-* &quot;-&quot;??_-;_-@_-"/>
    <numFmt numFmtId="167" formatCode="_-* #,##0_-;\-* #,##0_-;_-* &quot;-&quot;??_-;_-@_-"/>
    <numFmt numFmtId="168" formatCode="0.0%"/>
    <numFmt numFmtId="169" formatCode="#,##0.0000_);\(#,##0.0000\)"/>
    <numFmt numFmtId="170" formatCode="#,##0.000_);\(#,##0.000\)"/>
    <numFmt numFmtId="171" formatCode="General_)"/>
    <numFmt numFmtId="172" formatCode="_-[$€-2]* #,##0.00_-;\-[$€-2]* #,##0.00_-;_-[$€-2]* &quot;-&quot;??_-"/>
    <numFmt numFmtId="173" formatCode="#,##0.0_);\(#,##0.0\)"/>
    <numFmt numFmtId="174" formatCode="0.00_);\(0.00\)"/>
    <numFmt numFmtId="175" formatCode="0.0000_);\(0.0000\)"/>
    <numFmt numFmtId="176" formatCode="\[0\]"/>
    <numFmt numFmtId="177" formatCode="00"/>
    <numFmt numFmtId="178" formatCode="0_);\(0\)"/>
    <numFmt numFmtId="179" formatCode="0.0"/>
    <numFmt numFmtId="180" formatCode="0.000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SWISS"/>
    </font>
    <font>
      <sz val="11"/>
      <name val="Calibri"/>
      <family val="2"/>
      <scheme val="minor"/>
    </font>
    <font>
      <sz val="8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2"/>
      <name val="Calibri"/>
      <family val="2"/>
      <scheme val="minor"/>
    </font>
    <font>
      <sz val="16"/>
      <color indexed="18"/>
      <name val="Arial"/>
      <family val="2"/>
    </font>
    <font>
      <sz val="10"/>
      <color indexed="18"/>
      <name val="Arial"/>
      <family val="2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u/>
      <sz val="10"/>
      <color theme="1"/>
      <name val="Arial"/>
      <family val="2"/>
    </font>
    <font>
      <u/>
      <sz val="10"/>
      <name val="Arial"/>
      <family val="2"/>
    </font>
    <font>
      <b/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b/>
      <u/>
      <sz val="11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2"/>
      <name val="Helv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Frutiger 45 Light"/>
      <family val="2"/>
    </font>
    <font>
      <sz val="8"/>
      <name val="Garamond"/>
      <family val="1"/>
    </font>
    <font>
      <sz val="12"/>
      <name val="Frutiger 45 Light"/>
      <family val="2"/>
    </font>
    <font>
      <i/>
      <sz val="12"/>
      <name val="Frutiger 45 Light"/>
      <family val="2"/>
    </font>
    <font>
      <u/>
      <sz val="10"/>
      <color indexed="12"/>
      <name val="Arial"/>
      <family val="2"/>
    </font>
    <font>
      <b/>
      <sz val="14"/>
      <name val="Frutiger 87ExtraBlackCn"/>
      <family val="2"/>
    </font>
    <font>
      <b/>
      <i/>
      <sz val="12"/>
      <name val="Frutiger 45 Light"/>
      <family val="2"/>
    </font>
    <font>
      <sz val="10"/>
      <name val="Frutiger"/>
    </font>
    <font>
      <sz val="11"/>
      <color theme="1"/>
      <name val="Arial"/>
      <family val="2"/>
    </font>
    <font>
      <sz val="7"/>
      <name val="Helv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0"/>
      <color indexed="12"/>
      <name val="Arial"/>
      <family val="2"/>
    </font>
    <font>
      <sz val="7"/>
      <name val="Arial"/>
      <family val="2"/>
    </font>
    <font>
      <sz val="8"/>
      <color theme="1"/>
      <name val="Arial Narrow"/>
      <family val="2"/>
    </font>
    <font>
      <sz val="8"/>
      <color theme="1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10"/>
      <color theme="0" tint="-0.14999847407452621"/>
      <name val="Arial"/>
      <family val="2"/>
    </font>
    <font>
      <u/>
      <sz val="1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lightGray">
        <fgColor indexed="1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5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37" fontId="4" fillId="0" borderId="0"/>
    <xf numFmtId="0" fontId="3" fillId="0" borderId="0"/>
    <xf numFmtId="0" fontId="7" fillId="0" borderId="0"/>
    <xf numFmtId="0" fontId="8" fillId="0" borderId="0"/>
    <xf numFmtId="0" fontId="3" fillId="0" borderId="0"/>
    <xf numFmtId="0" fontId="3" fillId="0" borderId="0"/>
    <xf numFmtId="165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0" applyNumberFormat="0" applyBorder="0">
      <alignment horizontal="centerContinuous"/>
      <protection locked="0"/>
    </xf>
    <xf numFmtId="0" fontId="3" fillId="0" borderId="0"/>
    <xf numFmtId="3" fontId="11" fillId="3" borderId="0" applyBorder="0">
      <alignment horizontal="right"/>
      <protection locked="0"/>
    </xf>
    <xf numFmtId="9" fontId="3" fillId="0" borderId="0" applyFont="0" applyFill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1" fillId="0" borderId="1">
      <alignment horizontal="center"/>
    </xf>
    <xf numFmtId="0" fontId="42" fillId="0" borderId="10">
      <alignment horizontal="left" wrapText="1" indent="2"/>
    </xf>
    <xf numFmtId="0" fontId="24" fillId="6" borderId="0" applyNumberFormat="0" applyBorder="0" applyAlignment="0" applyProtection="0"/>
    <xf numFmtId="0" fontId="25" fillId="23" borderId="11" applyNumberFormat="0" applyAlignment="0" applyProtection="0"/>
    <xf numFmtId="0" fontId="25" fillId="23" borderId="11" applyNumberFormat="0" applyAlignment="0" applyProtection="0"/>
    <xf numFmtId="0" fontId="43" fillId="0" borderId="0">
      <alignment wrapText="1"/>
    </xf>
    <xf numFmtId="0" fontId="26" fillId="24" borderId="12" applyNumberFormat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7" borderId="0" applyNumberFormat="0" applyBorder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1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32" fillId="10" borderId="11" applyNumberFormat="0" applyAlignment="0" applyProtection="0"/>
    <xf numFmtId="0" fontId="32" fillId="10" borderId="11" applyNumberFormat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45" fillId="0" borderId="0"/>
    <xf numFmtId="0" fontId="34" fillId="25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171" fontId="2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8" fillId="0" borderId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6" fillId="0" borderId="18">
      <alignment horizontal="left" wrapText="1" indent="1"/>
    </xf>
    <xf numFmtId="0" fontId="35" fillId="23" borderId="19" applyNumberFormat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27" borderId="20" applyNumberFormat="0" applyFill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21">
      <alignment vertical="center" wrapText="1"/>
    </xf>
    <xf numFmtId="0" fontId="37" fillId="0" borderId="0" applyNumberFormat="0" applyFill="0" applyBorder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47" fillId="0" borderId="23">
      <alignment horizont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3" fillId="0" borderId="0" applyNumberFormat="0" applyFont="0" applyBorder="0">
      <alignment horizontal="right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2" borderId="0" applyNumberFormat="0" applyBorder="0" applyAlignment="0" applyProtection="0"/>
    <xf numFmtId="0" fontId="39" fillId="0" borderId="0" applyNumberFormat="0" applyFill="0" applyBorder="0" applyAlignment="0" applyProtection="0"/>
    <xf numFmtId="0" fontId="25" fillId="23" borderId="11" applyNumberFormat="0" applyAlignment="0" applyProtection="0"/>
    <xf numFmtId="0" fontId="33" fillId="0" borderId="16" applyNumberFormat="0" applyFill="0" applyAlignment="0" applyProtection="0"/>
    <xf numFmtId="0" fontId="4" fillId="26" borderId="17" applyNumberFormat="0" applyFont="0" applyAlignment="0" applyProtection="0"/>
    <xf numFmtId="0" fontId="32" fillId="10" borderId="11" applyNumberFormat="0" applyAlignment="0" applyProtection="0"/>
    <xf numFmtId="0" fontId="24" fillId="6" borderId="0" applyNumberFormat="0" applyBorder="0" applyAlignment="0" applyProtection="0"/>
    <xf numFmtId="0" fontId="34" fillId="25" borderId="0" applyNumberFormat="0" applyBorder="0" applyAlignment="0" applyProtection="0"/>
    <xf numFmtId="0" fontId="7" fillId="0" borderId="0"/>
    <xf numFmtId="9" fontId="8" fillId="0" borderId="0" applyFont="0" applyFill="0" applyBorder="0" applyAlignment="0" applyProtection="0"/>
    <xf numFmtId="0" fontId="28" fillId="7" borderId="0" applyNumberFormat="0" applyBorder="0" applyAlignment="0" applyProtection="0"/>
    <xf numFmtId="0" fontId="35" fillId="23" borderId="19" applyNumberFormat="0" applyAlignment="0" applyProtection="0"/>
    <xf numFmtId="0" fontId="2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31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8" fillId="0" borderId="22" applyNumberFormat="0" applyFill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26" fillId="24" borderId="1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4" borderId="1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4" borderId="12" applyNumberFormat="0" applyAlignment="0" applyProtection="0"/>
    <xf numFmtId="0" fontId="1" fillId="0" borderId="0"/>
    <xf numFmtId="0" fontId="1" fillId="0" borderId="0"/>
    <xf numFmtId="0" fontId="1" fillId="0" borderId="0"/>
    <xf numFmtId="0" fontId="26" fillId="24" borderId="1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171" fontId="49" fillId="0" borderId="28"/>
    <xf numFmtId="0" fontId="24" fillId="8" borderId="0" applyNumberFormat="0" applyBorder="0" applyAlignment="0" applyProtection="0"/>
    <xf numFmtId="43" fontId="3" fillId="0" borderId="0" applyFont="0" applyFill="0" applyBorder="0" applyAlignment="0" applyProtection="0"/>
    <xf numFmtId="0" fontId="50" fillId="2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9" borderId="0" applyNumberFormat="0" applyBorder="0" applyAlignment="0" applyProtection="0"/>
    <xf numFmtId="0" fontId="35" fillId="28" borderId="19" applyNumberFormat="0" applyAlignment="0" applyProtection="0"/>
    <xf numFmtId="0" fontId="27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29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>
      <protection locked="0"/>
    </xf>
    <xf numFmtId="0" fontId="3" fillId="0" borderId="0" applyNumberFormat="0" applyFont="0" applyBorder="0">
      <alignment horizontal="right"/>
      <protection locked="0"/>
    </xf>
    <xf numFmtId="0" fontId="3" fillId="0" borderId="0" applyNumberFormat="0" applyFont="0" applyBorder="0">
      <alignment horizontal="right"/>
      <protection locked="0"/>
    </xf>
    <xf numFmtId="0" fontId="3" fillId="0" borderId="0" applyNumberFormat="0" applyFont="0" applyBorder="0">
      <alignment horizontal="right"/>
      <protection locked="0"/>
    </xf>
    <xf numFmtId="0" fontId="26" fillId="24" borderId="12" applyNumberFormat="0" applyAlignment="0" applyProtection="0"/>
    <xf numFmtId="0" fontId="1" fillId="0" borderId="0"/>
    <xf numFmtId="164" fontId="1" fillId="0" borderId="0" applyFont="0" applyFill="0" applyBorder="0" applyAlignment="0" applyProtection="0"/>
    <xf numFmtId="37" fontId="55" fillId="29" borderId="1">
      <alignment horizontal="right"/>
    </xf>
    <xf numFmtId="37" fontId="55" fillId="29" borderId="1">
      <alignment horizontal="right"/>
    </xf>
    <xf numFmtId="173" fontId="55" fillId="29" borderId="1">
      <alignment horizontal="right"/>
    </xf>
    <xf numFmtId="173" fontId="55" fillId="29" borderId="1">
      <alignment horizontal="right"/>
    </xf>
    <xf numFmtId="174" fontId="55" fillId="29" borderId="1">
      <alignment horizontal="right"/>
    </xf>
    <xf numFmtId="174" fontId="55" fillId="29" borderId="1">
      <alignment horizontal="right"/>
    </xf>
    <xf numFmtId="175" fontId="55" fillId="29" borderId="1">
      <alignment horizontal="right"/>
    </xf>
    <xf numFmtId="175" fontId="55" fillId="29" borderId="1">
      <alignment horizontal="right"/>
    </xf>
    <xf numFmtId="37" fontId="55" fillId="30" borderId="1">
      <alignment horizontal="right"/>
    </xf>
    <xf numFmtId="37" fontId="55" fillId="30" borderId="1">
      <alignment horizontal="right"/>
    </xf>
    <xf numFmtId="176" fontId="56" fillId="31" borderId="0" applyBorder="0">
      <alignment horizontal="center" vertical="center"/>
    </xf>
    <xf numFmtId="10" fontId="57" fillId="32" borderId="0" applyBorder="0">
      <alignment horizontal="center" vertical="center"/>
    </xf>
    <xf numFmtId="37" fontId="55" fillId="0" borderId="1">
      <alignment horizontal="right"/>
      <protection locked="0"/>
    </xf>
    <xf numFmtId="37" fontId="55" fillId="0" borderId="1">
      <alignment horizontal="right"/>
      <protection locked="0"/>
    </xf>
    <xf numFmtId="173" fontId="55" fillId="0" borderId="1">
      <alignment horizontal="right"/>
      <protection locked="0"/>
    </xf>
    <xf numFmtId="173" fontId="55" fillId="0" borderId="1">
      <alignment horizontal="right"/>
      <protection locked="0"/>
    </xf>
    <xf numFmtId="39" fontId="55" fillId="0" borderId="1">
      <alignment horizontal="right"/>
      <protection locked="0"/>
    </xf>
    <xf numFmtId="39" fontId="55" fillId="0" borderId="1">
      <alignment horizontal="right"/>
      <protection locked="0"/>
    </xf>
    <xf numFmtId="169" fontId="55" fillId="0" borderId="1">
      <alignment horizontal="right"/>
      <protection locked="0"/>
    </xf>
    <xf numFmtId="169" fontId="55" fillId="0" borderId="1">
      <alignment horizontal="right"/>
      <protection locked="0"/>
    </xf>
    <xf numFmtId="0" fontId="58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8" fillId="0" borderId="0" applyFont="0" applyFill="0" applyBorder="0" applyAlignment="0" applyProtection="0"/>
  </cellStyleXfs>
  <cellXfs count="184">
    <xf numFmtId="0" fontId="0" fillId="0" borderId="0" xfId="0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quotePrefix="1" applyFont="1" applyAlignment="1">
      <alignment horizontal="left" vertical="center"/>
    </xf>
    <xf numFmtId="9" fontId="13" fillId="0" borderId="0" xfId="2" applyFont="1" applyAlignment="1">
      <alignment horizontal="center" vertical="center"/>
    </xf>
    <xf numFmtId="37" fontId="13" fillId="0" borderId="0" xfId="1" applyNumberFormat="1" applyFont="1" applyAlignment="1">
      <alignment horizontal="center" vertical="center"/>
    </xf>
    <xf numFmtId="168" fontId="13" fillId="0" borderId="0" xfId="0" applyNumberFormat="1" applyFont="1" applyAlignment="1">
      <alignment horizontal="center" vertical="center"/>
    </xf>
    <xf numFmtId="37" fontId="13" fillId="0" borderId="0" xfId="0" applyNumberFormat="1" applyFont="1" applyAlignment="1">
      <alignment horizontal="center" vertical="center"/>
    </xf>
    <xf numFmtId="168" fontId="13" fillId="0" borderId="0" xfId="2" applyNumberFormat="1" applyFont="1" applyAlignment="1">
      <alignment horizontal="center" vertical="center"/>
    </xf>
    <xf numFmtId="37" fontId="13" fillId="4" borderId="0" xfId="0" applyNumberFormat="1" applyFont="1" applyFill="1" applyAlignment="1">
      <alignment horizontal="center" vertical="center"/>
    </xf>
    <xf numFmtId="168" fontId="13" fillId="4" borderId="0" xfId="2" applyNumberFormat="1" applyFont="1" applyFill="1" applyAlignment="1">
      <alignment horizontal="center" vertical="center"/>
    </xf>
    <xf numFmtId="39" fontId="17" fillId="0" borderId="0" xfId="0" applyNumberFormat="1" applyFont="1" applyAlignment="1">
      <alignment horizontal="center" vertical="center"/>
    </xf>
    <xf numFmtId="170" fontId="17" fillId="0" borderId="1" xfId="0" applyNumberFormat="1" applyFont="1" applyBorder="1" applyAlignment="1">
      <alignment horizontal="center" vertical="center"/>
    </xf>
    <xf numFmtId="170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167" fontId="59" fillId="34" borderId="32" xfId="10" applyNumberFormat="1" applyFont="1" applyFill="1" applyBorder="1" applyAlignment="1" applyProtection="1">
      <alignment vertical="center"/>
      <protection locked="0"/>
    </xf>
    <xf numFmtId="167" fontId="59" fillId="0" borderId="1" xfId="10" applyNumberFormat="1" applyFont="1" applyFill="1" applyBorder="1" applyAlignment="1" applyProtection="1">
      <alignment vertical="center"/>
      <protection locked="0"/>
    </xf>
    <xf numFmtId="167" fontId="59" fillId="0" borderId="6" xfId="10" applyNumberFormat="1" applyFont="1" applyFill="1" applyBorder="1" applyAlignment="1" applyProtection="1">
      <alignment vertical="center"/>
      <protection locked="0"/>
    </xf>
    <xf numFmtId="167" fontId="59" fillId="2" borderId="33" xfId="10" applyNumberFormat="1" applyFont="1" applyFill="1" applyBorder="1" applyAlignment="1">
      <alignment vertical="center"/>
    </xf>
    <xf numFmtId="167" fontId="60" fillId="0" borderId="4" xfId="10" applyNumberFormat="1" applyFont="1" applyFill="1" applyBorder="1" applyAlignment="1">
      <alignment horizontal="center" vertical="center" wrapText="1"/>
    </xf>
    <xf numFmtId="167" fontId="60" fillId="2" borderId="4" xfId="10" applyNumberFormat="1" applyFont="1" applyFill="1" applyBorder="1" applyAlignment="1">
      <alignment horizontal="center" vertical="center"/>
    </xf>
    <xf numFmtId="167" fontId="60" fillId="0" borderId="25" xfId="10" applyNumberFormat="1" applyFont="1" applyFill="1" applyBorder="1" applyAlignment="1">
      <alignment horizontal="center" vertical="center" wrapText="1"/>
    </xf>
    <xf numFmtId="0" fontId="59" fillId="0" borderId="31" xfId="7" applyFont="1" applyBorder="1" applyAlignment="1">
      <alignment vertical="center"/>
    </xf>
    <xf numFmtId="0" fontId="59" fillId="33" borderId="27" xfId="7" applyFont="1" applyFill="1" applyBorder="1" applyAlignment="1">
      <alignment vertical="center"/>
    </xf>
    <xf numFmtId="167" fontId="59" fillId="2" borderId="1" xfId="10" applyNumberFormat="1" applyFont="1" applyFill="1" applyBorder="1" applyAlignment="1">
      <alignment vertical="center"/>
    </xf>
    <xf numFmtId="167" fontId="59" fillId="0" borderId="6" xfId="10" applyNumberFormat="1" applyFont="1" applyFill="1" applyBorder="1" applyAlignment="1">
      <alignment vertical="center"/>
    </xf>
    <xf numFmtId="0" fontId="60" fillId="0" borderId="5" xfId="7" applyFont="1" applyBorder="1" applyAlignment="1">
      <alignment horizontal="left" vertical="center"/>
    </xf>
    <xf numFmtId="167" fontId="59" fillId="33" borderId="4" xfId="10" applyNumberFormat="1" applyFont="1" applyFill="1" applyBorder="1" applyAlignment="1">
      <alignment vertical="center"/>
    </xf>
    <xf numFmtId="165" fontId="59" fillId="33" borderId="4" xfId="10" applyFont="1" applyFill="1" applyBorder="1" applyAlignment="1" applyProtection="1">
      <alignment horizontal="center" vertical="center"/>
      <protection locked="0"/>
    </xf>
    <xf numFmtId="167" fontId="59" fillId="33" borderId="25" xfId="10" applyNumberFormat="1" applyFont="1" applyFill="1" applyBorder="1" applyAlignment="1" applyProtection="1">
      <alignment vertical="center"/>
      <protection locked="0"/>
    </xf>
    <xf numFmtId="0" fontId="59" fillId="33" borderId="31" xfId="7" applyFont="1" applyFill="1" applyBorder="1" applyAlignment="1">
      <alignment vertical="center"/>
    </xf>
    <xf numFmtId="167" fontId="59" fillId="0" borderId="4" xfId="10" applyNumberFormat="1" applyFont="1" applyFill="1" applyBorder="1" applyAlignment="1">
      <alignment vertical="center"/>
    </xf>
    <xf numFmtId="165" fontId="59" fillId="0" borderId="33" xfId="10" applyFont="1" applyBorder="1" applyAlignment="1" applyProtection="1">
      <alignment horizontal="center" vertical="center"/>
      <protection locked="0"/>
    </xf>
    <xf numFmtId="0" fontId="59" fillId="0" borderId="24" xfId="7" applyFont="1" applyBorder="1" applyAlignment="1">
      <alignment vertical="center"/>
    </xf>
    <xf numFmtId="167" fontId="59" fillId="0" borderId="2" xfId="10" applyNumberFormat="1" applyFont="1" applyFill="1" applyBorder="1" applyAlignment="1">
      <alignment vertical="center"/>
    </xf>
    <xf numFmtId="167" fontId="59" fillId="0" borderId="0" xfId="10" applyNumberFormat="1" applyFont="1" applyFill="1" applyBorder="1" applyAlignment="1">
      <alignment vertical="center"/>
    </xf>
    <xf numFmtId="165" fontId="59" fillId="0" borderId="2" xfId="10" applyFont="1" applyFill="1" applyBorder="1" applyAlignment="1">
      <alignment horizontal="center" vertical="center"/>
    </xf>
    <xf numFmtId="167" fontId="59" fillId="0" borderId="8" xfId="10" applyNumberFormat="1" applyFont="1" applyFill="1" applyBorder="1" applyAlignment="1">
      <alignment vertical="center"/>
    </xf>
    <xf numFmtId="167" fontId="59" fillId="33" borderId="1" xfId="10" applyNumberFormat="1" applyFont="1" applyFill="1" applyBorder="1" applyAlignment="1">
      <alignment vertical="center"/>
    </xf>
    <xf numFmtId="0" fontId="60" fillId="0" borderId="7" xfId="7" applyFont="1" applyBorder="1" applyAlignment="1">
      <alignment vertical="center"/>
    </xf>
    <xf numFmtId="0" fontId="59" fillId="0" borderId="33" xfId="170" applyFont="1" applyBorder="1" applyAlignment="1">
      <alignment horizontal="center" vertical="center"/>
    </xf>
    <xf numFmtId="0" fontId="59" fillId="0" borderId="33" xfId="170" quotePrefix="1" applyFont="1" applyBorder="1" applyAlignment="1">
      <alignment horizontal="center" vertical="center" wrapText="1"/>
    </xf>
    <xf numFmtId="0" fontId="60" fillId="0" borderId="9" xfId="7" applyFont="1" applyBorder="1" applyAlignment="1">
      <alignment horizontal="center" vertical="center" wrapText="1"/>
    </xf>
    <xf numFmtId="0" fontId="60" fillId="0" borderId="5" xfId="170" applyFont="1" applyBorder="1" applyAlignment="1">
      <alignment vertical="center"/>
    </xf>
    <xf numFmtId="49" fontId="60" fillId="0" borderId="0" xfId="5" applyNumberFormat="1" applyFont="1" applyAlignment="1">
      <alignment horizontal="center" vertical="center"/>
    </xf>
    <xf numFmtId="0" fontId="59" fillId="0" borderId="0" xfId="126" applyFont="1" applyAlignment="1">
      <alignment vertical="center"/>
    </xf>
    <xf numFmtId="167" fontId="59" fillId="0" borderId="25" xfId="10" applyNumberFormat="1" applyFont="1" applyBorder="1" applyAlignment="1" applyProtection="1">
      <alignment vertical="center"/>
      <protection locked="0"/>
    </xf>
    <xf numFmtId="165" fontId="59" fillId="0" borderId="4" xfId="10" applyFont="1" applyBorder="1" applyAlignment="1" applyProtection="1">
      <alignment horizontal="center" vertical="center"/>
      <protection locked="0"/>
    </xf>
    <xf numFmtId="0" fontId="59" fillId="0" borderId="0" xfId="126" quotePrefix="1" applyFont="1" applyAlignment="1">
      <alignment vertical="center"/>
    </xf>
    <xf numFmtId="10" fontId="13" fillId="0" borderId="0" xfId="0" applyNumberFormat="1" applyFont="1" applyAlignment="1">
      <alignment horizontal="center" vertical="center"/>
    </xf>
    <xf numFmtId="167" fontId="59" fillId="2" borderId="1" xfId="10" applyNumberFormat="1" applyFont="1" applyFill="1" applyBorder="1" applyAlignment="1">
      <alignment horizontal="center" vertical="center"/>
    </xf>
    <xf numFmtId="165" fontId="59" fillId="0" borderId="1" xfId="10" applyFont="1" applyBorder="1" applyAlignment="1" applyProtection="1">
      <alignment horizontal="center" vertical="center"/>
      <protection locked="0"/>
    </xf>
    <xf numFmtId="167" fontId="59" fillId="0" borderId="32" xfId="10" applyNumberFormat="1" applyFont="1" applyBorder="1" applyAlignment="1" applyProtection="1">
      <alignment vertical="center"/>
      <protection locked="0"/>
    </xf>
    <xf numFmtId="49" fontId="59" fillId="33" borderId="1" xfId="7" applyNumberFormat="1" applyFont="1" applyFill="1" applyBorder="1" applyAlignment="1">
      <alignment horizontal="center" vertical="center"/>
    </xf>
    <xf numFmtId="0" fontId="59" fillId="0" borderId="32" xfId="170" applyFont="1" applyBorder="1" applyAlignment="1">
      <alignment horizontal="center" vertical="center"/>
    </xf>
    <xf numFmtId="0" fontId="60" fillId="0" borderId="4" xfId="7" applyFont="1" applyBorder="1" applyAlignment="1">
      <alignment horizontal="center" vertical="center" wrapText="1"/>
    </xf>
    <xf numFmtId="177" fontId="59" fillId="0" borderId="25" xfId="7" applyNumberFormat="1" applyFont="1" applyBorder="1" applyAlignment="1">
      <alignment horizontal="right" vertical="center"/>
    </xf>
    <xf numFmtId="0" fontId="59" fillId="0" borderId="7" xfId="7" applyFont="1" applyBorder="1" applyAlignment="1">
      <alignment vertical="center"/>
    </xf>
    <xf numFmtId="0" fontId="60" fillId="0" borderId="6" xfId="170" applyFont="1" applyBorder="1" applyAlignment="1">
      <alignment vertical="center"/>
    </xf>
    <xf numFmtId="0" fontId="60" fillId="0" borderId="3" xfId="170" applyFont="1" applyBorder="1" applyAlignment="1">
      <alignment vertical="center"/>
    </xf>
    <xf numFmtId="167" fontId="59" fillId="0" borderId="0" xfId="10" applyNumberFormat="1" applyFont="1" applyFill="1" applyBorder="1" applyAlignment="1" applyProtection="1">
      <alignment vertical="center"/>
      <protection locked="0"/>
    </xf>
    <xf numFmtId="165" fontId="59" fillId="0" borderId="1" xfId="10" applyFont="1" applyFill="1" applyBorder="1" applyAlignment="1">
      <alignment horizontal="center" vertical="center"/>
    </xf>
    <xf numFmtId="0" fontId="5" fillId="0" borderId="0" xfId="6" applyFont="1" applyAlignment="1">
      <alignment vertical="center"/>
    </xf>
    <xf numFmtId="167" fontId="59" fillId="2" borderId="6" xfId="10" applyNumberFormat="1" applyFont="1" applyFill="1" applyBorder="1" applyAlignment="1">
      <alignment vertical="center"/>
    </xf>
    <xf numFmtId="0" fontId="5" fillId="0" borderId="0" xfId="6" quotePrefix="1" applyFont="1" applyAlignment="1">
      <alignment horizontal="right" vertical="center"/>
    </xf>
    <xf numFmtId="37" fontId="9" fillId="0" borderId="0" xfId="4" applyFont="1" applyAlignment="1">
      <alignment vertical="center"/>
    </xf>
    <xf numFmtId="167" fontId="59" fillId="2" borderId="2" xfId="10" applyNumberFormat="1" applyFont="1" applyFill="1" applyBorder="1" applyAlignment="1">
      <alignment vertical="center"/>
    </xf>
    <xf numFmtId="49" fontId="59" fillId="33" borderId="33" xfId="7" applyNumberFormat="1" applyFont="1" applyFill="1" applyBorder="1" applyAlignment="1">
      <alignment horizontal="center" vertical="center"/>
    </xf>
    <xf numFmtId="0" fontId="60" fillId="0" borderId="5" xfId="7" applyFont="1" applyBorder="1" applyAlignment="1">
      <alignment vertical="center" wrapText="1"/>
    </xf>
    <xf numFmtId="167" fontId="59" fillId="0" borderId="2" xfId="10" applyNumberFormat="1" applyFont="1" applyFill="1" applyBorder="1" applyAlignment="1" applyProtection="1">
      <alignment vertical="center"/>
      <protection locked="0"/>
    </xf>
    <xf numFmtId="167" fontId="59" fillId="0" borderId="3" xfId="10" applyNumberFormat="1" applyFont="1" applyFill="1" applyBorder="1" applyAlignment="1">
      <alignment vertical="center"/>
    </xf>
    <xf numFmtId="49" fontId="5" fillId="0" borderId="0" xfId="6" applyNumberFormat="1" applyFont="1" applyAlignment="1">
      <alignment vertical="center"/>
    </xf>
    <xf numFmtId="167" fontId="59" fillId="34" borderId="33" xfId="10" applyNumberFormat="1" applyFont="1" applyFill="1" applyBorder="1" applyAlignment="1">
      <alignment vertical="center"/>
    </xf>
    <xf numFmtId="167" fontId="59" fillId="0" borderId="8" xfId="10" applyNumberFormat="1" applyFont="1" applyFill="1" applyBorder="1" applyAlignment="1" applyProtection="1">
      <alignment vertical="center"/>
      <protection locked="0"/>
    </xf>
    <xf numFmtId="167" fontId="59" fillId="0" borderId="3" xfId="10" applyNumberFormat="1" applyFont="1" applyFill="1" applyBorder="1" applyAlignment="1" applyProtection="1">
      <alignment vertical="center"/>
      <protection locked="0"/>
    </xf>
    <xf numFmtId="167" fontId="59" fillId="0" borderId="6" xfId="10" applyNumberFormat="1" applyFont="1" applyBorder="1" applyAlignment="1" applyProtection="1">
      <alignment vertical="center"/>
      <protection locked="0"/>
    </xf>
    <xf numFmtId="0" fontId="59" fillId="0" borderId="27" xfId="7" applyFont="1" applyBorder="1" applyAlignment="1">
      <alignment vertical="center"/>
    </xf>
    <xf numFmtId="167" fontId="59" fillId="0" borderId="33" xfId="10" applyNumberFormat="1" applyFont="1" applyFill="1" applyBorder="1" applyAlignment="1">
      <alignment vertical="center"/>
    </xf>
    <xf numFmtId="0" fontId="59" fillId="0" borderId="31" xfId="7" applyFont="1" applyBorder="1" applyAlignment="1" applyProtection="1">
      <alignment vertical="center"/>
      <protection locked="0"/>
    </xf>
    <xf numFmtId="0" fontId="48" fillId="0" borderId="34" xfId="7" quotePrefix="1" applyFont="1" applyBorder="1" applyAlignment="1">
      <alignment horizontal="center" vertical="center"/>
    </xf>
    <xf numFmtId="0" fontId="3" fillId="0" borderId="0" xfId="170" applyFont="1" applyAlignment="1">
      <alignment vertical="center"/>
    </xf>
    <xf numFmtId="37" fontId="9" fillId="0" borderId="0" xfId="4" applyFont="1" applyAlignment="1">
      <alignment horizontal="center" vertical="center"/>
    </xf>
    <xf numFmtId="0" fontId="59" fillId="0" borderId="0" xfId="127" quotePrefix="1" applyFont="1" applyAlignment="1">
      <alignment horizontal="left" vertical="center"/>
    </xf>
    <xf numFmtId="2" fontId="59" fillId="0" borderId="0" xfId="126" quotePrefix="1" applyNumberFormat="1" applyFont="1" applyAlignment="1">
      <alignment horizontal="center" vertical="center"/>
    </xf>
    <xf numFmtId="167" fontId="59" fillId="2" borderId="4" xfId="10" applyNumberFormat="1" applyFont="1" applyFill="1" applyBorder="1" applyAlignment="1">
      <alignment vertical="center"/>
    </xf>
    <xf numFmtId="167" fontId="59" fillId="2" borderId="25" xfId="10" applyNumberFormat="1" applyFont="1" applyFill="1" applyBorder="1" applyAlignment="1">
      <alignment vertical="center"/>
    </xf>
    <xf numFmtId="167" fontId="59" fillId="2" borderId="33" xfId="10" applyNumberFormat="1" applyFont="1" applyFill="1" applyBorder="1" applyAlignment="1">
      <alignment horizontal="center" vertical="center"/>
    </xf>
    <xf numFmtId="167" fontId="59" fillId="2" borderId="4" xfId="10" applyNumberFormat="1" applyFont="1" applyFill="1" applyBorder="1" applyAlignment="1">
      <alignment horizontal="center" vertical="center"/>
    </xf>
    <xf numFmtId="167" fontId="59" fillId="0" borderId="1" xfId="10" applyNumberFormat="1" applyFont="1" applyFill="1" applyBorder="1" applyAlignment="1">
      <alignment vertical="center"/>
    </xf>
    <xf numFmtId="0" fontId="60" fillId="0" borderId="26" xfId="7" applyFont="1" applyBorder="1" applyAlignment="1">
      <alignment vertical="center"/>
    </xf>
    <xf numFmtId="167" fontId="59" fillId="2" borderId="32" xfId="10" applyNumberFormat="1" applyFont="1" applyFill="1" applyBorder="1" applyAlignment="1">
      <alignment vertical="center"/>
    </xf>
    <xf numFmtId="9" fontId="6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62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37" fontId="13" fillId="0" borderId="7" xfId="0" applyNumberFormat="1" applyFont="1" applyBorder="1" applyAlignment="1">
      <alignment horizontal="center" vertical="center"/>
    </xf>
    <xf numFmtId="168" fontId="13" fillId="0" borderId="7" xfId="2" applyNumberFormat="1" applyFont="1" applyBorder="1" applyAlignment="1">
      <alignment horizontal="center" vertical="center"/>
    </xf>
    <xf numFmtId="167" fontId="59" fillId="35" borderId="25" xfId="10" applyNumberFormat="1" applyFont="1" applyFill="1" applyBorder="1" applyAlignment="1" applyProtection="1">
      <alignment vertical="center"/>
      <protection locked="0"/>
    </xf>
    <xf numFmtId="167" fontId="59" fillId="35" borderId="4" xfId="10" applyNumberFormat="1" applyFont="1" applyFill="1" applyBorder="1" applyAlignment="1">
      <alignment vertical="center"/>
    </xf>
    <xf numFmtId="167" fontId="59" fillId="36" borderId="25" xfId="10" applyNumberFormat="1" applyFont="1" applyFill="1" applyBorder="1" applyAlignment="1" applyProtection="1">
      <alignment vertical="center"/>
      <protection locked="0"/>
    </xf>
    <xf numFmtId="167" fontId="59" fillId="36" borderId="4" xfId="10" applyNumberFormat="1" applyFont="1" applyFill="1" applyBorder="1" applyAlignment="1">
      <alignment vertical="center"/>
    </xf>
    <xf numFmtId="0" fontId="13" fillId="4" borderId="0" xfId="0" applyFont="1" applyFill="1" applyAlignment="1">
      <alignment vertical="center"/>
    </xf>
    <xf numFmtId="167" fontId="59" fillId="37" borderId="25" xfId="10" applyNumberFormat="1" applyFont="1" applyFill="1" applyBorder="1" applyAlignment="1" applyProtection="1">
      <alignment vertical="center"/>
      <protection locked="0"/>
    </xf>
    <xf numFmtId="167" fontId="59" fillId="37" borderId="4" xfId="10" applyNumberFormat="1" applyFont="1" applyFill="1" applyBorder="1" applyAlignment="1">
      <alignment vertical="center"/>
    </xf>
    <xf numFmtId="2" fontId="59" fillId="0" borderId="35" xfId="127" quotePrefix="1" applyNumberFormat="1" applyFont="1" applyBorder="1" applyAlignment="1">
      <alignment horizontal="centerContinuous" vertical="center"/>
    </xf>
    <xf numFmtId="0" fontId="3" fillId="0" borderId="35" xfId="0" applyFont="1" applyBorder="1" applyAlignment="1">
      <alignment horizontal="center" vertical="center"/>
    </xf>
    <xf numFmtId="37" fontId="13" fillId="0" borderId="35" xfId="0" applyNumberFormat="1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3" fillId="0" borderId="35" xfId="0" applyFont="1" applyBorder="1" applyAlignment="1">
      <alignment vertical="center"/>
    </xf>
    <xf numFmtId="0" fontId="3" fillId="0" borderId="35" xfId="0" applyFont="1" applyBorder="1" applyAlignment="1">
      <alignment horizontal="left" vertical="center"/>
    </xf>
    <xf numFmtId="37" fontId="13" fillId="4" borderId="35" xfId="0" applyNumberFormat="1" applyFont="1" applyFill="1" applyBorder="1" applyAlignment="1">
      <alignment horizontal="center" vertical="center"/>
    </xf>
    <xf numFmtId="169" fontId="13" fillId="0" borderId="35" xfId="0" applyNumberFormat="1" applyFont="1" applyBorder="1" applyAlignment="1">
      <alignment horizontal="center" vertical="center"/>
    </xf>
    <xf numFmtId="0" fontId="13" fillId="4" borderId="35" xfId="0" applyFont="1" applyFill="1" applyBorder="1" applyAlignment="1">
      <alignment vertical="center"/>
    </xf>
    <xf numFmtId="37" fontId="13" fillId="0" borderId="0" xfId="0" applyNumberFormat="1" applyFont="1" applyAlignment="1">
      <alignment vertical="center"/>
    </xf>
    <xf numFmtId="0" fontId="13" fillId="0" borderId="0" xfId="0" applyFont="1" applyAlignment="1">
      <alignment horizontal="right" vertical="center"/>
    </xf>
    <xf numFmtId="3" fontId="13" fillId="0" borderId="0" xfId="0" applyNumberFormat="1" applyFont="1" applyAlignment="1">
      <alignment horizontal="center" vertical="center"/>
    </xf>
    <xf numFmtId="3" fontId="13" fillId="0" borderId="35" xfId="0" applyNumberFormat="1" applyFont="1" applyBorder="1" applyAlignment="1">
      <alignment horizontal="center" vertical="center"/>
    </xf>
    <xf numFmtId="0" fontId="13" fillId="0" borderId="35" xfId="0" applyFont="1" applyBorder="1" applyAlignment="1">
      <alignment vertical="center"/>
    </xf>
    <xf numFmtId="3" fontId="13" fillId="35" borderId="35" xfId="0" applyNumberFormat="1" applyFont="1" applyFill="1" applyBorder="1" applyAlignment="1">
      <alignment horizontal="center" vertical="center"/>
    </xf>
    <xf numFmtId="178" fontId="17" fillId="0" borderId="0" xfId="0" applyNumberFormat="1" applyFont="1" applyAlignment="1">
      <alignment horizontal="right" vertical="center"/>
    </xf>
    <xf numFmtId="1" fontId="13" fillId="0" borderId="0" xfId="0" applyNumberFormat="1" applyFont="1" applyAlignment="1">
      <alignment horizontal="center" vertical="center"/>
    </xf>
    <xf numFmtId="9" fontId="13" fillId="0" borderId="35" xfId="0" applyNumberFormat="1" applyFont="1" applyBorder="1" applyAlignment="1">
      <alignment horizontal="center" vertical="center"/>
    </xf>
    <xf numFmtId="10" fontId="13" fillId="0" borderId="35" xfId="0" applyNumberFormat="1" applyFont="1" applyBorder="1" applyAlignment="1">
      <alignment horizontal="center" vertical="center"/>
    </xf>
    <xf numFmtId="3" fontId="13" fillId="39" borderId="0" xfId="0" applyNumberFormat="1" applyFont="1" applyFill="1" applyAlignment="1">
      <alignment horizontal="center" vertical="center"/>
    </xf>
    <xf numFmtId="3" fontId="13" fillId="39" borderId="35" xfId="0" applyNumberFormat="1" applyFont="1" applyFill="1" applyBorder="1" applyAlignment="1">
      <alignment horizontal="center" vertical="center"/>
    </xf>
    <xf numFmtId="10" fontId="17" fillId="0" borderId="0" xfId="2" applyNumberFormat="1" applyFont="1" applyBorder="1" applyAlignment="1">
      <alignment horizontal="center" vertical="center"/>
    </xf>
    <xf numFmtId="9" fontId="17" fillId="0" borderId="0" xfId="2" applyFont="1" applyFill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37" fontId="61" fillId="0" borderId="35" xfId="0" applyNumberFormat="1" applyFont="1" applyBorder="1" applyAlignment="1">
      <alignment horizontal="center" vertical="center"/>
    </xf>
    <xf numFmtId="14" fontId="61" fillId="0" borderId="0" xfId="0" applyNumberFormat="1" applyFont="1" applyAlignment="1">
      <alignment horizontal="center" vertical="center"/>
    </xf>
    <xf numFmtId="179" fontId="13" fillId="0" borderId="7" xfId="0" applyNumberFormat="1" applyFont="1" applyBorder="1" applyAlignment="1">
      <alignment horizontal="center" vertical="center"/>
    </xf>
    <xf numFmtId="10" fontId="61" fillId="0" borderId="0" xfId="0" applyNumberFormat="1" applyFont="1" applyAlignment="1">
      <alignment horizontal="center" vertical="center"/>
    </xf>
    <xf numFmtId="37" fontId="61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3" fontId="13" fillId="40" borderId="0" xfId="0" applyNumberFormat="1" applyFont="1" applyFill="1" applyAlignment="1">
      <alignment horizontal="center" vertical="center"/>
    </xf>
    <xf numFmtId="3" fontId="13" fillId="41" borderId="0" xfId="0" applyNumberFormat="1" applyFont="1" applyFill="1" applyAlignment="1">
      <alignment horizontal="center" vertical="center"/>
    </xf>
    <xf numFmtId="3" fontId="13" fillId="41" borderId="35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10" fontId="17" fillId="0" borderId="1" xfId="2" applyNumberFormat="1" applyFont="1" applyBorder="1" applyAlignment="1">
      <alignment horizontal="center" vertical="center"/>
    </xf>
    <xf numFmtId="168" fontId="13" fillId="0" borderId="0" xfId="2" applyNumberFormat="1" applyFont="1" applyFill="1" applyAlignment="1">
      <alignment horizontal="center" vertical="center"/>
    </xf>
    <xf numFmtId="170" fontId="13" fillId="38" borderId="0" xfId="1" applyNumberFormat="1" applyFont="1" applyFill="1" applyAlignment="1">
      <alignment horizontal="center" vertical="center"/>
    </xf>
    <xf numFmtId="170" fontId="13" fillId="34" borderId="0" xfId="1" applyNumberFormat="1" applyFont="1" applyFill="1" applyAlignment="1">
      <alignment horizontal="center" vertical="center"/>
    </xf>
    <xf numFmtId="170" fontId="13" fillId="0" borderId="0" xfId="1" applyNumberFormat="1" applyFont="1" applyAlignment="1">
      <alignment horizontal="center" vertical="center"/>
    </xf>
    <xf numFmtId="170" fontId="13" fillId="38" borderId="35" xfId="1" applyNumberFormat="1" applyFont="1" applyFill="1" applyBorder="1" applyAlignment="1">
      <alignment horizontal="center" vertical="center"/>
    </xf>
    <xf numFmtId="170" fontId="13" fillId="34" borderId="35" xfId="1" applyNumberFormat="1" applyFont="1" applyFill="1" applyBorder="1" applyAlignment="1">
      <alignment horizontal="center" vertical="center"/>
    </xf>
    <xf numFmtId="180" fontId="59" fillId="35" borderId="4" xfId="10" applyNumberFormat="1" applyFont="1" applyFill="1" applyBorder="1" applyAlignment="1" applyProtection="1">
      <alignment horizontal="right" vertical="center"/>
      <protection locked="0"/>
    </xf>
    <xf numFmtId="180" fontId="59" fillId="37" borderId="4" xfId="10" applyNumberFormat="1" applyFont="1" applyFill="1" applyBorder="1" applyAlignment="1" applyProtection="1">
      <alignment horizontal="right" vertical="center"/>
      <protection locked="0"/>
    </xf>
    <xf numFmtId="180" fontId="59" fillId="34" borderId="33" xfId="10" applyNumberFormat="1" applyFont="1" applyFill="1" applyBorder="1" applyAlignment="1" applyProtection="1">
      <alignment horizontal="right" vertical="center"/>
      <protection locked="0"/>
    </xf>
    <xf numFmtId="180" fontId="59" fillId="36" borderId="4" xfId="10" applyNumberFormat="1" applyFont="1" applyFill="1" applyBorder="1" applyAlignment="1" applyProtection="1">
      <alignment horizontal="right" vertical="center"/>
      <protection locked="0"/>
    </xf>
    <xf numFmtId="0" fontId="13" fillId="0" borderId="0" xfId="0" quotePrefix="1" applyFont="1" applyAlignment="1">
      <alignment vertical="center"/>
    </xf>
    <xf numFmtId="170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7" fontId="17" fillId="0" borderId="0" xfId="0" applyNumberFormat="1" applyFont="1" applyAlignment="1">
      <alignment horizontal="center" vertical="center"/>
    </xf>
    <xf numFmtId="0" fontId="59" fillId="0" borderId="0" xfId="6" applyFont="1" applyAlignment="1">
      <alignment vertical="center"/>
    </xf>
    <xf numFmtId="49" fontId="59" fillId="0" borderId="0" xfId="6" applyNumberFormat="1" applyFont="1" applyAlignment="1">
      <alignment vertical="center"/>
    </xf>
    <xf numFmtId="0" fontId="59" fillId="0" borderId="0" xfId="6" applyFont="1" applyAlignment="1">
      <alignment horizontal="center" vertical="center"/>
    </xf>
    <xf numFmtId="0" fontId="59" fillId="0" borderId="35" xfId="6" applyFont="1" applyBorder="1" applyAlignment="1">
      <alignment horizontal="left" vertical="center"/>
    </xf>
    <xf numFmtId="0" fontId="59" fillId="0" borderId="35" xfId="6" applyFont="1" applyBorder="1" applyAlignment="1">
      <alignment horizontal="center" vertical="center"/>
    </xf>
    <xf numFmtId="37" fontId="59" fillId="0" borderId="0" xfId="6" applyNumberFormat="1" applyFont="1" applyAlignment="1">
      <alignment horizontal="left" vertical="center"/>
    </xf>
    <xf numFmtId="37" fontId="59" fillId="0" borderId="0" xfId="6" applyNumberFormat="1" applyFont="1" applyAlignment="1">
      <alignment horizontal="center" vertical="center"/>
    </xf>
    <xf numFmtId="180" fontId="59" fillId="0" borderId="0" xfId="6" applyNumberFormat="1" applyFont="1" applyAlignment="1">
      <alignment horizontal="center" vertical="center"/>
    </xf>
    <xf numFmtId="37" fontId="59" fillId="0" borderId="35" xfId="6" applyNumberFormat="1" applyFont="1" applyBorder="1" applyAlignment="1">
      <alignment horizontal="left" vertical="center"/>
    </xf>
    <xf numFmtId="37" fontId="59" fillId="0" borderId="35" xfId="6" applyNumberFormat="1" applyFont="1" applyBorder="1" applyAlignment="1">
      <alignment horizontal="center" vertical="center"/>
    </xf>
    <xf numFmtId="180" fontId="59" fillId="0" borderId="35" xfId="6" applyNumberFormat="1" applyFont="1" applyBorder="1" applyAlignment="1">
      <alignment horizontal="center" vertical="center"/>
    </xf>
    <xf numFmtId="37" fontId="63" fillId="0" borderId="0" xfId="4" applyFont="1" applyAlignment="1">
      <alignment vertical="center"/>
    </xf>
    <xf numFmtId="37" fontId="59" fillId="0" borderId="0" xfId="4" applyFont="1" applyAlignment="1">
      <alignment vertical="center"/>
    </xf>
    <xf numFmtId="170" fontId="17" fillId="0" borderId="9" xfId="0" applyNumberFormat="1" applyFont="1" applyBorder="1" applyAlignment="1">
      <alignment horizontal="center" vertical="center"/>
    </xf>
    <xf numFmtId="0" fontId="13" fillId="0" borderId="0" xfId="0" quotePrefix="1" applyFont="1" applyAlignment="1">
      <alignment horizontal="center" vertical="center"/>
    </xf>
    <xf numFmtId="2" fontId="59" fillId="0" borderId="0" xfId="126" quotePrefix="1" applyNumberFormat="1" applyFont="1" applyAlignment="1">
      <alignment horizontal="center" vertical="center"/>
    </xf>
    <xf numFmtId="0" fontId="60" fillId="0" borderId="0" xfId="170" applyFont="1" applyAlignment="1">
      <alignment horizontal="center" vertical="center"/>
    </xf>
    <xf numFmtId="49" fontId="60" fillId="0" borderId="0" xfId="5" applyNumberFormat="1" applyFont="1" applyAlignment="1">
      <alignment horizontal="center" vertical="center"/>
    </xf>
    <xf numFmtId="0" fontId="13" fillId="0" borderId="35" xfId="0" applyFont="1" applyBorder="1" applyAlignment="1">
      <alignment horizontal="center" vertical="center"/>
    </xf>
  </cellXfs>
  <cellStyles count="356">
    <cellStyle name="20 % - Accent1" xfId="19" xr:uid="{00000000-0005-0000-0000-000000000000}"/>
    <cellStyle name="20 % - Accent1 2" xfId="175" xr:uid="{00000000-0005-0000-0000-000001000000}"/>
    <cellStyle name="20 % - Accent2" xfId="21" xr:uid="{00000000-0005-0000-0000-000002000000}"/>
    <cellStyle name="20 % - Accent2 2" xfId="176" xr:uid="{00000000-0005-0000-0000-000003000000}"/>
    <cellStyle name="20 % - Accent3" xfId="23" xr:uid="{00000000-0005-0000-0000-000004000000}"/>
    <cellStyle name="20 % - Accent3 2" xfId="177" xr:uid="{00000000-0005-0000-0000-000005000000}"/>
    <cellStyle name="20 % - Accent4" xfId="25" xr:uid="{00000000-0005-0000-0000-000006000000}"/>
    <cellStyle name="20 % - Accent4 2" xfId="178" xr:uid="{00000000-0005-0000-0000-000007000000}"/>
    <cellStyle name="20 % - Accent5" xfId="27" xr:uid="{00000000-0005-0000-0000-000008000000}"/>
    <cellStyle name="20 % - Accent5 2" xfId="179" xr:uid="{00000000-0005-0000-0000-000009000000}"/>
    <cellStyle name="20 % - Accent6" xfId="29" xr:uid="{00000000-0005-0000-0000-00000A000000}"/>
    <cellStyle name="20 % - Accent6 2" xfId="180" xr:uid="{00000000-0005-0000-0000-00000B000000}"/>
    <cellStyle name="20% - Accent1 2" xfId="20" xr:uid="{00000000-0005-0000-0000-00000C000000}"/>
    <cellStyle name="20% - Accent2 2" xfId="22" xr:uid="{00000000-0005-0000-0000-00000D000000}"/>
    <cellStyle name="20% - Accent3 2" xfId="24" xr:uid="{00000000-0005-0000-0000-00000E000000}"/>
    <cellStyle name="20% - Accent4 2" xfId="26" xr:uid="{00000000-0005-0000-0000-00000F000000}"/>
    <cellStyle name="20% - Accent5 2" xfId="28" xr:uid="{00000000-0005-0000-0000-000010000000}"/>
    <cellStyle name="20% - Accent6 2" xfId="30" xr:uid="{00000000-0005-0000-0000-000011000000}"/>
    <cellStyle name="40 % - Accent1" xfId="31" xr:uid="{00000000-0005-0000-0000-000012000000}"/>
    <cellStyle name="40 % - Accent1 2" xfId="181" xr:uid="{00000000-0005-0000-0000-000013000000}"/>
    <cellStyle name="40 % - Accent2" xfId="33" xr:uid="{00000000-0005-0000-0000-000014000000}"/>
    <cellStyle name="40 % - Accent2 2" xfId="182" xr:uid="{00000000-0005-0000-0000-000015000000}"/>
    <cellStyle name="40 % - Accent3" xfId="35" xr:uid="{00000000-0005-0000-0000-000016000000}"/>
    <cellStyle name="40 % - Accent3 2" xfId="183" xr:uid="{00000000-0005-0000-0000-000017000000}"/>
    <cellStyle name="40 % - Accent4" xfId="37" xr:uid="{00000000-0005-0000-0000-000018000000}"/>
    <cellStyle name="40 % - Accent4 2" xfId="184" xr:uid="{00000000-0005-0000-0000-000019000000}"/>
    <cellStyle name="40 % - Accent5" xfId="39" xr:uid="{00000000-0005-0000-0000-00001A000000}"/>
    <cellStyle name="40 % - Accent5 2" xfId="185" xr:uid="{00000000-0005-0000-0000-00001B000000}"/>
    <cellStyle name="40 % - Accent6" xfId="41" xr:uid="{00000000-0005-0000-0000-00001C000000}"/>
    <cellStyle name="40 % - Accent6 2" xfId="186" xr:uid="{00000000-0005-0000-0000-00001D000000}"/>
    <cellStyle name="40% - Accent1 2" xfId="32" xr:uid="{00000000-0005-0000-0000-00001E000000}"/>
    <cellStyle name="40% - Accent2 2" xfId="34" xr:uid="{00000000-0005-0000-0000-00001F000000}"/>
    <cellStyle name="40% - Accent3 2" xfId="36" xr:uid="{00000000-0005-0000-0000-000020000000}"/>
    <cellStyle name="40% - Accent4 2" xfId="38" xr:uid="{00000000-0005-0000-0000-000021000000}"/>
    <cellStyle name="40% - Accent5 2" xfId="40" xr:uid="{00000000-0005-0000-0000-000022000000}"/>
    <cellStyle name="40% - Accent6 2" xfId="42" xr:uid="{00000000-0005-0000-0000-000023000000}"/>
    <cellStyle name="60 % - Accent1" xfId="43" xr:uid="{00000000-0005-0000-0000-000024000000}"/>
    <cellStyle name="60 % - Accent1 2" xfId="187" xr:uid="{00000000-0005-0000-0000-000025000000}"/>
    <cellStyle name="60 % - Accent2" xfId="45" xr:uid="{00000000-0005-0000-0000-000026000000}"/>
    <cellStyle name="60 % - Accent2 2" xfId="188" xr:uid="{00000000-0005-0000-0000-000027000000}"/>
    <cellStyle name="60 % - Accent3" xfId="47" xr:uid="{00000000-0005-0000-0000-000028000000}"/>
    <cellStyle name="60 % - Accent3 2" xfId="189" xr:uid="{00000000-0005-0000-0000-000029000000}"/>
    <cellStyle name="60 % - Accent4" xfId="49" xr:uid="{00000000-0005-0000-0000-00002A000000}"/>
    <cellStyle name="60 % - Accent4 2" xfId="190" xr:uid="{00000000-0005-0000-0000-00002B000000}"/>
    <cellStyle name="60 % - Accent5" xfId="51" xr:uid="{00000000-0005-0000-0000-00002C000000}"/>
    <cellStyle name="60 % - Accent5 2" xfId="191" xr:uid="{00000000-0005-0000-0000-00002D000000}"/>
    <cellStyle name="60 % - Accent6" xfId="53" xr:uid="{00000000-0005-0000-0000-00002E000000}"/>
    <cellStyle name="60 % - Accent6 2" xfId="192" xr:uid="{00000000-0005-0000-0000-00002F000000}"/>
    <cellStyle name="60% - Accent1 2" xfId="44" xr:uid="{00000000-0005-0000-0000-000030000000}"/>
    <cellStyle name="60% - Accent2 2" xfId="46" xr:uid="{00000000-0005-0000-0000-000031000000}"/>
    <cellStyle name="60% - Accent3 2" xfId="48" xr:uid="{00000000-0005-0000-0000-000032000000}"/>
    <cellStyle name="60% - Accent4 2" xfId="50" xr:uid="{00000000-0005-0000-0000-000033000000}"/>
    <cellStyle name="60% - Accent5 2" xfId="52" xr:uid="{00000000-0005-0000-0000-000034000000}"/>
    <cellStyle name="60% - Accent6 2" xfId="54" xr:uid="{00000000-0005-0000-0000-000035000000}"/>
    <cellStyle name="Accent1 2" xfId="56" xr:uid="{00000000-0005-0000-0000-000036000000}"/>
    <cellStyle name="Accent1 3" xfId="57" xr:uid="{00000000-0005-0000-0000-000037000000}"/>
    <cellStyle name="Accent1 4" xfId="193" xr:uid="{00000000-0005-0000-0000-000038000000}"/>
    <cellStyle name="Accent1 5" xfId="55" xr:uid="{00000000-0005-0000-0000-000039000000}"/>
    <cellStyle name="Accent2 2" xfId="59" xr:uid="{00000000-0005-0000-0000-00003A000000}"/>
    <cellStyle name="Accent2 3" xfId="60" xr:uid="{00000000-0005-0000-0000-00003B000000}"/>
    <cellStyle name="Accent2 4" xfId="194" xr:uid="{00000000-0005-0000-0000-00003C000000}"/>
    <cellStyle name="Accent2 5" xfId="58" xr:uid="{00000000-0005-0000-0000-00003D000000}"/>
    <cellStyle name="Accent3 2" xfId="62" xr:uid="{00000000-0005-0000-0000-00003E000000}"/>
    <cellStyle name="Accent3 3" xfId="63" xr:uid="{00000000-0005-0000-0000-00003F000000}"/>
    <cellStyle name="Accent3 4" xfId="195" xr:uid="{00000000-0005-0000-0000-000040000000}"/>
    <cellStyle name="Accent3 5" xfId="61" xr:uid="{00000000-0005-0000-0000-000041000000}"/>
    <cellStyle name="Accent4 2" xfId="65" xr:uid="{00000000-0005-0000-0000-000042000000}"/>
    <cellStyle name="Accent4 3" xfId="66" xr:uid="{00000000-0005-0000-0000-000043000000}"/>
    <cellStyle name="Accent4 4" xfId="196" xr:uid="{00000000-0005-0000-0000-000044000000}"/>
    <cellStyle name="Accent4 5" xfId="64" xr:uid="{00000000-0005-0000-0000-000045000000}"/>
    <cellStyle name="Accent5 2" xfId="68" xr:uid="{00000000-0005-0000-0000-000046000000}"/>
    <cellStyle name="Accent5 3" xfId="69" xr:uid="{00000000-0005-0000-0000-000047000000}"/>
    <cellStyle name="Accent5 4" xfId="197" xr:uid="{00000000-0005-0000-0000-000048000000}"/>
    <cellStyle name="Accent5 5" xfId="67" xr:uid="{00000000-0005-0000-0000-000049000000}"/>
    <cellStyle name="Accent6 2" xfId="71" xr:uid="{00000000-0005-0000-0000-00004A000000}"/>
    <cellStyle name="Accent6 3" xfId="72" xr:uid="{00000000-0005-0000-0000-00004B000000}"/>
    <cellStyle name="Accent6 4" xfId="198" xr:uid="{00000000-0005-0000-0000-00004C000000}"/>
    <cellStyle name="Accent6 5" xfId="70" xr:uid="{00000000-0005-0000-0000-00004D000000}"/>
    <cellStyle name="Affinity Exhibit Header_PFAD selection exhibit for MEARIE" xfId="15" xr:uid="{00000000-0005-0000-0000-00004E000000}"/>
    <cellStyle name="Affinity Totals" xfId="17" xr:uid="{00000000-0005-0000-0000-00004F000000}"/>
    <cellStyle name="AttribBox" xfId="73" xr:uid="{00000000-0005-0000-0000-000050000000}"/>
    <cellStyle name="Attribute" xfId="74" xr:uid="{00000000-0005-0000-0000-000051000000}"/>
    <cellStyle name="Avertissement" xfId="151" xr:uid="{00000000-0005-0000-0000-000052000000}"/>
    <cellStyle name="Avertissement 2" xfId="199" xr:uid="{00000000-0005-0000-0000-000053000000}"/>
    <cellStyle name="Bad 2" xfId="75" xr:uid="{00000000-0005-0000-0000-000054000000}"/>
    <cellStyle name="Bad 3" xfId="290" xr:uid="{00000000-0005-0000-0000-000055000000}"/>
    <cellStyle name="Calcul" xfId="76" xr:uid="{00000000-0005-0000-0000-000056000000}"/>
    <cellStyle name="Calcul 2" xfId="200" xr:uid="{00000000-0005-0000-0000-000057000000}"/>
    <cellStyle name="Calculation 2" xfId="77" xr:uid="{00000000-0005-0000-0000-000058000000}"/>
    <cellStyle name="CategoryHeading" xfId="78" xr:uid="{00000000-0005-0000-0000-000059000000}"/>
    <cellStyle name="Cellule liée" xfId="93" xr:uid="{00000000-0005-0000-0000-00005A000000}"/>
    <cellStyle name="Cellule liée 2" xfId="201" xr:uid="{00000000-0005-0000-0000-00005B000000}"/>
    <cellStyle name="Check Cell 2" xfId="79" xr:uid="{00000000-0005-0000-0000-00005C000000}"/>
    <cellStyle name="Check Cell 2 2" xfId="219" xr:uid="{00000000-0005-0000-0000-00005D000000}"/>
    <cellStyle name="Check Cell 2 3" xfId="224" xr:uid="{00000000-0005-0000-0000-00005E000000}"/>
    <cellStyle name="Check Cell 3" xfId="218" xr:uid="{00000000-0005-0000-0000-00005F000000}"/>
    <cellStyle name="Check Cell 4" xfId="236" xr:uid="{00000000-0005-0000-0000-000060000000}"/>
    <cellStyle name="Check Cell 5" xfId="322" xr:uid="{00000000-0005-0000-0000-000061000000}"/>
    <cellStyle name="Comma" xfId="1" builtinId="3"/>
    <cellStyle name="Comma 2" xfId="3" xr:uid="{00000000-0005-0000-0000-000063000000}"/>
    <cellStyle name="Comma 2 2" xfId="81" xr:uid="{00000000-0005-0000-0000-000064000000}"/>
    <cellStyle name="Comma 2 2 2" xfId="82" xr:uid="{00000000-0005-0000-0000-000065000000}"/>
    <cellStyle name="Comma 2 3" xfId="261" xr:uid="{00000000-0005-0000-0000-000066000000}"/>
    <cellStyle name="Comma 2 4" xfId="262" xr:uid="{00000000-0005-0000-0000-000067000000}"/>
    <cellStyle name="Comma 2 5" xfId="80" xr:uid="{00000000-0005-0000-0000-000068000000}"/>
    <cellStyle name="Comma 3" xfId="14" xr:uid="{00000000-0005-0000-0000-000069000000}"/>
    <cellStyle name="Comma 3 2" xfId="10" xr:uid="{00000000-0005-0000-0000-00006A000000}"/>
    <cellStyle name="Comma 4" xfId="263" xr:uid="{00000000-0005-0000-0000-00006B000000}"/>
    <cellStyle name="Comma 5" xfId="355" xr:uid="{00000000-0005-0000-0000-00006C000000}"/>
    <cellStyle name="Commentaire" xfId="264" xr:uid="{00000000-0005-0000-0000-00006D000000}"/>
    <cellStyle name="Commentaire 10" xfId="265" xr:uid="{00000000-0005-0000-0000-00006E000000}"/>
    <cellStyle name="Commentaire 11" xfId="266" xr:uid="{00000000-0005-0000-0000-00006F000000}"/>
    <cellStyle name="Commentaire 12" xfId="267" xr:uid="{00000000-0005-0000-0000-000070000000}"/>
    <cellStyle name="Commentaire 13" xfId="268" xr:uid="{00000000-0005-0000-0000-000071000000}"/>
    <cellStyle name="Commentaire 14" xfId="269" xr:uid="{00000000-0005-0000-0000-000072000000}"/>
    <cellStyle name="Commentaire 15" xfId="270" xr:uid="{00000000-0005-0000-0000-000073000000}"/>
    <cellStyle name="Commentaire 16" xfId="271" xr:uid="{00000000-0005-0000-0000-000074000000}"/>
    <cellStyle name="Commentaire 17" xfId="272" xr:uid="{00000000-0005-0000-0000-000075000000}"/>
    <cellStyle name="Commentaire 18" xfId="273" xr:uid="{00000000-0005-0000-0000-000076000000}"/>
    <cellStyle name="Commentaire 19" xfId="274" xr:uid="{00000000-0005-0000-0000-000077000000}"/>
    <cellStyle name="Commentaire 2" xfId="202" xr:uid="{00000000-0005-0000-0000-000078000000}"/>
    <cellStyle name="Commentaire 20" xfId="275" xr:uid="{00000000-0005-0000-0000-000079000000}"/>
    <cellStyle name="Commentaire 21" xfId="276" xr:uid="{00000000-0005-0000-0000-00007A000000}"/>
    <cellStyle name="Commentaire 22" xfId="277" xr:uid="{00000000-0005-0000-0000-00007B000000}"/>
    <cellStyle name="Commentaire 23" xfId="278" xr:uid="{00000000-0005-0000-0000-00007C000000}"/>
    <cellStyle name="Commentaire 24" xfId="279" xr:uid="{00000000-0005-0000-0000-00007D000000}"/>
    <cellStyle name="Commentaire 25" xfId="280" xr:uid="{00000000-0005-0000-0000-00007E000000}"/>
    <cellStyle name="Commentaire 26" xfId="281" xr:uid="{00000000-0005-0000-0000-00007F000000}"/>
    <cellStyle name="Commentaire 3" xfId="282" xr:uid="{00000000-0005-0000-0000-000080000000}"/>
    <cellStyle name="Commentaire 4" xfId="283" xr:uid="{00000000-0005-0000-0000-000081000000}"/>
    <cellStyle name="Commentaire 5" xfId="284" xr:uid="{00000000-0005-0000-0000-000082000000}"/>
    <cellStyle name="Commentaire 6" xfId="285" xr:uid="{00000000-0005-0000-0000-000083000000}"/>
    <cellStyle name="Commentaire 7" xfId="286" xr:uid="{00000000-0005-0000-0000-000084000000}"/>
    <cellStyle name="Commentaire 8" xfId="287" xr:uid="{00000000-0005-0000-0000-000085000000}"/>
    <cellStyle name="Commentaire 9" xfId="288" xr:uid="{00000000-0005-0000-0000-000086000000}"/>
    <cellStyle name="Currency 2" xfId="11" xr:uid="{00000000-0005-0000-0000-000087000000}"/>
    <cellStyle name="Currency 2 2" xfId="324" xr:uid="{00000000-0005-0000-0000-000088000000}"/>
    <cellStyle name="Entrée" xfId="91" xr:uid="{00000000-0005-0000-0000-000089000000}"/>
    <cellStyle name="Entrée 2" xfId="203" xr:uid="{00000000-0005-0000-0000-00008A000000}"/>
    <cellStyle name="Euro" xfId="83" xr:uid="{00000000-0005-0000-0000-00008B000000}"/>
    <cellStyle name="Explanatory Text 2" xfId="84" xr:uid="{00000000-0005-0000-0000-00008C000000}"/>
    <cellStyle name="Explanatory Text 3" xfId="311" xr:uid="{00000000-0005-0000-0000-00008D000000}"/>
    <cellStyle name="Formula0decimals" xfId="325" xr:uid="{00000000-0005-0000-0000-00008E000000}"/>
    <cellStyle name="Formula0decimals 2" xfId="326" xr:uid="{00000000-0005-0000-0000-00008F000000}"/>
    <cellStyle name="Formula1decimal" xfId="327" xr:uid="{00000000-0005-0000-0000-000090000000}"/>
    <cellStyle name="Formula1decimal 2" xfId="328" xr:uid="{00000000-0005-0000-0000-000091000000}"/>
    <cellStyle name="Formula2decimals" xfId="329" xr:uid="{00000000-0005-0000-0000-000092000000}"/>
    <cellStyle name="Formula2decimals 2" xfId="330" xr:uid="{00000000-0005-0000-0000-000093000000}"/>
    <cellStyle name="Formula4decimals" xfId="331" xr:uid="{00000000-0005-0000-0000-000094000000}"/>
    <cellStyle name="Formula4decimals 2" xfId="332" xr:uid="{00000000-0005-0000-0000-000095000000}"/>
    <cellStyle name="FormulaProxy0decimals" xfId="333" xr:uid="{00000000-0005-0000-0000-000096000000}"/>
    <cellStyle name="FormulaProxy0decimals 2" xfId="334" xr:uid="{00000000-0005-0000-0000-000097000000}"/>
    <cellStyle name="french - Style1" xfId="289" xr:uid="{00000000-0005-0000-0000-000098000000}"/>
    <cellStyle name="Good 2" xfId="85" xr:uid="{00000000-0005-0000-0000-000099000000}"/>
    <cellStyle name="Good 3" xfId="309" xr:uid="{00000000-0005-0000-0000-00009A000000}"/>
    <cellStyle name="Heading 1 2" xfId="86" xr:uid="{00000000-0005-0000-0000-00009B000000}"/>
    <cellStyle name="Heading 1 3" xfId="313" xr:uid="{00000000-0005-0000-0000-00009C000000}"/>
    <cellStyle name="Heading 2 2" xfId="87" xr:uid="{00000000-0005-0000-0000-00009D000000}"/>
    <cellStyle name="Heading 2 3" xfId="314" xr:uid="{00000000-0005-0000-0000-00009E000000}"/>
    <cellStyle name="Heading 3 2" xfId="88" xr:uid="{00000000-0005-0000-0000-00009F000000}"/>
    <cellStyle name="Heading 3 3" xfId="316" xr:uid="{00000000-0005-0000-0000-0000A0000000}"/>
    <cellStyle name="Heading 4 2" xfId="89" xr:uid="{00000000-0005-0000-0000-0000A1000000}"/>
    <cellStyle name="Heading 4 3" xfId="317" xr:uid="{00000000-0005-0000-0000-0000A2000000}"/>
    <cellStyle name="Hyperlink 2" xfId="90" xr:uid="{00000000-0005-0000-0000-0000A3000000}"/>
    <cellStyle name="IAIS.FT_RCode" xfId="335" xr:uid="{00000000-0005-0000-0000-0000A4000000}"/>
    <cellStyle name="IAIS_BCR_Factor" xfId="336" xr:uid="{00000000-0005-0000-0000-0000A5000000}"/>
    <cellStyle name="Input 2" xfId="92" xr:uid="{00000000-0005-0000-0000-0000A6000000}"/>
    <cellStyle name="Input0decimals" xfId="337" xr:uid="{00000000-0005-0000-0000-0000A7000000}"/>
    <cellStyle name="Input0decimals 2" xfId="338" xr:uid="{00000000-0005-0000-0000-0000A8000000}"/>
    <cellStyle name="Input1decimals" xfId="339" xr:uid="{00000000-0005-0000-0000-0000A9000000}"/>
    <cellStyle name="Input1decimals 2" xfId="340" xr:uid="{00000000-0005-0000-0000-0000AA000000}"/>
    <cellStyle name="Input2decimals" xfId="341" xr:uid="{00000000-0005-0000-0000-0000AB000000}"/>
    <cellStyle name="Input2decimals 2" xfId="342" xr:uid="{00000000-0005-0000-0000-0000AC000000}"/>
    <cellStyle name="Input4decimals" xfId="343" xr:uid="{00000000-0005-0000-0000-0000AD000000}"/>
    <cellStyle name="Input4decimals 2" xfId="344" xr:uid="{00000000-0005-0000-0000-0000AE000000}"/>
    <cellStyle name="Insatisfaisant 2" xfId="204" xr:uid="{00000000-0005-0000-0000-0000AF000000}"/>
    <cellStyle name="Lien hypertexte 2" xfId="345" xr:uid="{00000000-0005-0000-0000-0000B0000000}"/>
    <cellStyle name="Lien hypertexte 3" xfId="346" xr:uid="{00000000-0005-0000-0000-0000B1000000}"/>
    <cellStyle name="Linked Cell 2" xfId="94" xr:uid="{00000000-0005-0000-0000-0000B2000000}"/>
    <cellStyle name="MajorHeading" xfId="95" xr:uid="{00000000-0005-0000-0000-0000B3000000}"/>
    <cellStyle name="Milliers 2" xfId="291" xr:uid="{00000000-0005-0000-0000-0000B4000000}"/>
    <cellStyle name="Neutral 2" xfId="96" xr:uid="{00000000-0005-0000-0000-0000B5000000}"/>
    <cellStyle name="Neutral 3" xfId="292" xr:uid="{00000000-0005-0000-0000-0000B6000000}"/>
    <cellStyle name="Neutre 2" xfId="205" xr:uid="{00000000-0005-0000-0000-0000B7000000}"/>
    <cellStyle name="Normal" xfId="0" builtinId="0"/>
    <cellStyle name="Normal 10" xfId="97" xr:uid="{00000000-0005-0000-0000-0000B9000000}"/>
    <cellStyle name="Normal 11" xfId="98" xr:uid="{00000000-0005-0000-0000-0000BA000000}"/>
    <cellStyle name="Normal 11 2" xfId="99" xr:uid="{00000000-0005-0000-0000-0000BB000000}"/>
    <cellStyle name="Normal 11 2 2" xfId="164" xr:uid="{00000000-0005-0000-0000-0000BC000000}"/>
    <cellStyle name="Normal 11 2 2 2" xfId="231" xr:uid="{00000000-0005-0000-0000-0000BD000000}"/>
    <cellStyle name="Normal 11 2 2 3" xfId="251" xr:uid="{00000000-0005-0000-0000-0000BE000000}"/>
    <cellStyle name="Normal 11 2 3" xfId="221" xr:uid="{00000000-0005-0000-0000-0000BF000000}"/>
    <cellStyle name="Normal 11 2 4" xfId="242" xr:uid="{00000000-0005-0000-0000-0000C0000000}"/>
    <cellStyle name="Normal 11 3" xfId="160" xr:uid="{00000000-0005-0000-0000-0000C1000000}"/>
    <cellStyle name="Normal 11 3 2" xfId="168" xr:uid="{00000000-0005-0000-0000-0000C2000000}"/>
    <cellStyle name="Normal 11 3 2 2" xfId="234" xr:uid="{00000000-0005-0000-0000-0000C3000000}"/>
    <cellStyle name="Normal 11 3 2 3" xfId="254" xr:uid="{00000000-0005-0000-0000-0000C4000000}"/>
    <cellStyle name="Normal 11 3 3" xfId="228" xr:uid="{00000000-0005-0000-0000-0000C5000000}"/>
    <cellStyle name="Normal 11 3 4" xfId="248" xr:uid="{00000000-0005-0000-0000-0000C6000000}"/>
    <cellStyle name="Normal 11 4" xfId="163" xr:uid="{00000000-0005-0000-0000-0000C7000000}"/>
    <cellStyle name="Normal 11 4 2" xfId="230" xr:uid="{00000000-0005-0000-0000-0000C8000000}"/>
    <cellStyle name="Normal 11 4 3" xfId="250" xr:uid="{00000000-0005-0000-0000-0000C9000000}"/>
    <cellStyle name="Normal 11 5" xfId="220" xr:uid="{00000000-0005-0000-0000-0000CA000000}"/>
    <cellStyle name="Normal 11 6" xfId="241" xr:uid="{00000000-0005-0000-0000-0000CB000000}"/>
    <cellStyle name="Normal 12" xfId="100" xr:uid="{00000000-0005-0000-0000-0000CC000000}"/>
    <cellStyle name="Normal 12 11" xfId="101" xr:uid="{00000000-0005-0000-0000-0000CD000000}"/>
    <cellStyle name="Normal 12 2" xfId="159" xr:uid="{00000000-0005-0000-0000-0000CE000000}"/>
    <cellStyle name="Normal 12 2 2" xfId="169" xr:uid="{00000000-0005-0000-0000-0000CF000000}"/>
    <cellStyle name="Normal 12 2 2 2" xfId="235" xr:uid="{00000000-0005-0000-0000-0000D0000000}"/>
    <cellStyle name="Normal 12 2 2 3" xfId="255" xr:uid="{00000000-0005-0000-0000-0000D1000000}"/>
    <cellStyle name="Normal 12 2 3" xfId="227" xr:uid="{00000000-0005-0000-0000-0000D2000000}"/>
    <cellStyle name="Normal 12 2 4" xfId="247" xr:uid="{00000000-0005-0000-0000-0000D3000000}"/>
    <cellStyle name="Normal 12 3" xfId="165" xr:uid="{00000000-0005-0000-0000-0000D4000000}"/>
    <cellStyle name="Normal 12 3 2" xfId="232" xr:uid="{00000000-0005-0000-0000-0000D5000000}"/>
    <cellStyle name="Normal 12 3 3" xfId="252" xr:uid="{00000000-0005-0000-0000-0000D6000000}"/>
    <cellStyle name="Normal 12 4" xfId="222" xr:uid="{00000000-0005-0000-0000-0000D7000000}"/>
    <cellStyle name="Normal 12 5" xfId="243" xr:uid="{00000000-0005-0000-0000-0000D8000000}"/>
    <cellStyle name="Normal 13" xfId="6" xr:uid="{00000000-0005-0000-0000-0000D9000000}"/>
    <cellStyle name="Normal 13 2" xfId="170" xr:uid="{00000000-0005-0000-0000-0000DA000000}"/>
    <cellStyle name="Normal 14" xfId="162" xr:uid="{00000000-0005-0000-0000-0000DB000000}"/>
    <cellStyle name="Normal 14 2" xfId="167" xr:uid="{00000000-0005-0000-0000-0000DC000000}"/>
    <cellStyle name="Normal 15" xfId="174" xr:uid="{00000000-0005-0000-0000-0000DD000000}"/>
    <cellStyle name="Normal 16" xfId="259" xr:uid="{00000000-0005-0000-0000-0000DE000000}"/>
    <cellStyle name="Normal 16 2" xfId="351" xr:uid="{00000000-0005-0000-0000-0000DF000000}"/>
    <cellStyle name="Normal 17" xfId="293" xr:uid="{00000000-0005-0000-0000-0000E0000000}"/>
    <cellStyle name="Normal 18" xfId="294" xr:uid="{00000000-0005-0000-0000-0000E1000000}"/>
    <cellStyle name="Normal 19" xfId="295" xr:uid="{00000000-0005-0000-0000-0000E2000000}"/>
    <cellStyle name="Normal 2" xfId="16" xr:uid="{00000000-0005-0000-0000-0000E3000000}"/>
    <cellStyle name="Normal 2 10" xfId="206" xr:uid="{00000000-0005-0000-0000-0000E4000000}"/>
    <cellStyle name="Normal 2 11" xfId="102" xr:uid="{00000000-0005-0000-0000-0000E5000000}"/>
    <cellStyle name="Normal 2 2" xfId="103" xr:uid="{00000000-0005-0000-0000-0000E6000000}"/>
    <cellStyle name="Normal 2 2 2" xfId="104" xr:uid="{00000000-0005-0000-0000-0000E7000000}"/>
    <cellStyle name="Normal 2 2 3" xfId="105" xr:uid="{00000000-0005-0000-0000-0000E8000000}"/>
    <cellStyle name="Normal 2 3" xfId="106" xr:uid="{00000000-0005-0000-0000-0000E9000000}"/>
    <cellStyle name="Normal 2 3 2" xfId="155" xr:uid="{00000000-0005-0000-0000-0000EA000000}"/>
    <cellStyle name="Normal 2 4" xfId="107" xr:uid="{00000000-0005-0000-0000-0000EB000000}"/>
    <cellStyle name="Normal 2 5" xfId="108" xr:uid="{00000000-0005-0000-0000-0000EC000000}"/>
    <cellStyle name="Normal 2 6" xfId="109" xr:uid="{00000000-0005-0000-0000-0000ED000000}"/>
    <cellStyle name="Normal 2 7" xfId="110" xr:uid="{00000000-0005-0000-0000-0000EE000000}"/>
    <cellStyle name="Normal 2 8" xfId="111" xr:uid="{00000000-0005-0000-0000-0000EF000000}"/>
    <cellStyle name="Normal 2 9" xfId="7" xr:uid="{00000000-0005-0000-0000-0000F0000000}"/>
    <cellStyle name="Normal 20" xfId="296" xr:uid="{00000000-0005-0000-0000-0000F1000000}"/>
    <cellStyle name="Normal 21" xfId="297" xr:uid="{00000000-0005-0000-0000-0000F2000000}"/>
    <cellStyle name="Normal 22" xfId="298" xr:uid="{00000000-0005-0000-0000-0000F3000000}"/>
    <cellStyle name="Normal 23" xfId="299" xr:uid="{00000000-0005-0000-0000-0000F4000000}"/>
    <cellStyle name="Normal 24" xfId="300" xr:uid="{00000000-0005-0000-0000-0000F5000000}"/>
    <cellStyle name="Normal 25" xfId="323" xr:uid="{00000000-0005-0000-0000-0000F6000000}"/>
    <cellStyle name="Normal 3" xfId="12" xr:uid="{00000000-0005-0000-0000-0000F7000000}"/>
    <cellStyle name="Normal 3 2" xfId="113" xr:uid="{00000000-0005-0000-0000-0000F8000000}"/>
    <cellStyle name="Normal 3 3" xfId="114" xr:uid="{00000000-0005-0000-0000-0000F9000000}"/>
    <cellStyle name="Normal 3 4" xfId="157" xr:uid="{00000000-0005-0000-0000-0000FA000000}"/>
    <cellStyle name="Normal 3 4 2" xfId="171" xr:uid="{00000000-0005-0000-0000-0000FB000000}"/>
    <cellStyle name="Normal 3 4 2 2" xfId="237" xr:uid="{00000000-0005-0000-0000-0000FC000000}"/>
    <cellStyle name="Normal 3 4 2 3" xfId="256" xr:uid="{00000000-0005-0000-0000-0000FD000000}"/>
    <cellStyle name="Normal 3 4 3" xfId="225" xr:uid="{00000000-0005-0000-0000-0000FE000000}"/>
    <cellStyle name="Normal 3 4 4" xfId="245" xr:uid="{00000000-0005-0000-0000-0000FF000000}"/>
    <cellStyle name="Normal 3 4 5" xfId="353" xr:uid="{00000000-0005-0000-0000-000000010000}"/>
    <cellStyle name="Normal 3 5" xfId="301" xr:uid="{00000000-0005-0000-0000-000001010000}"/>
    <cellStyle name="Normal 3 6" xfId="112" xr:uid="{00000000-0005-0000-0000-000002010000}"/>
    <cellStyle name="Normal 3_ascii" xfId="302" xr:uid="{00000000-0005-0000-0000-000003010000}"/>
    <cellStyle name="Normal 4" xfId="115" xr:uid="{00000000-0005-0000-0000-000004010000}"/>
    <cellStyle name="Normal 4 2" xfId="116" xr:uid="{00000000-0005-0000-0000-000005010000}"/>
    <cellStyle name="Normal 4 2 2" xfId="8" xr:uid="{00000000-0005-0000-0000-000006010000}"/>
    <cellStyle name="Normal 4 3" xfId="9" xr:uid="{00000000-0005-0000-0000-000007010000}"/>
    <cellStyle name="Normal 4 4" xfId="117" xr:uid="{00000000-0005-0000-0000-000008010000}"/>
    <cellStyle name="Normal 4_Comments &amp; Questions" xfId="303" xr:uid="{00000000-0005-0000-0000-000009010000}"/>
    <cellStyle name="Normal 5" xfId="118" xr:uid="{00000000-0005-0000-0000-00000A010000}"/>
    <cellStyle name="Normal 5 2" xfId="119" xr:uid="{00000000-0005-0000-0000-00000B010000}"/>
    <cellStyle name="Normal 5 3" xfId="158" xr:uid="{00000000-0005-0000-0000-00000C010000}"/>
    <cellStyle name="Normal 5 3 2" xfId="172" xr:uid="{00000000-0005-0000-0000-00000D010000}"/>
    <cellStyle name="Normal 5 3 2 2" xfId="238" xr:uid="{00000000-0005-0000-0000-00000E010000}"/>
    <cellStyle name="Normal 5 3 2 3" xfId="257" xr:uid="{00000000-0005-0000-0000-00000F010000}"/>
    <cellStyle name="Normal 5 3 3" xfId="226" xr:uid="{00000000-0005-0000-0000-000010010000}"/>
    <cellStyle name="Normal 5 3 4" xfId="246" xr:uid="{00000000-0005-0000-0000-000011010000}"/>
    <cellStyle name="Normal 5 4" xfId="161" xr:uid="{00000000-0005-0000-0000-000012010000}"/>
    <cellStyle name="Normal 5 4 2" xfId="173" xr:uid="{00000000-0005-0000-0000-000013010000}"/>
    <cellStyle name="Normal 5 4 2 2" xfId="239" xr:uid="{00000000-0005-0000-0000-000014010000}"/>
    <cellStyle name="Normal 5 4 2 3" xfId="258" xr:uid="{00000000-0005-0000-0000-000015010000}"/>
    <cellStyle name="Normal 5 4 3" xfId="229" xr:uid="{00000000-0005-0000-0000-000016010000}"/>
    <cellStyle name="Normal 5 4 4" xfId="249" xr:uid="{00000000-0005-0000-0000-000017010000}"/>
    <cellStyle name="Normal 5 4 5" xfId="347" xr:uid="{00000000-0005-0000-0000-000018010000}"/>
    <cellStyle name="Normal 5 4 5 2" xfId="350" xr:uid="{00000000-0005-0000-0000-000019010000}"/>
    <cellStyle name="Normal 5 4 6" xfId="348" xr:uid="{00000000-0005-0000-0000-00001A010000}"/>
    <cellStyle name="Normal 5 4 7" xfId="349" xr:uid="{00000000-0005-0000-0000-00001B010000}"/>
    <cellStyle name="Normal 5 4 8" xfId="354" xr:uid="{00000000-0005-0000-0000-00001C010000}"/>
    <cellStyle name="Normal 5 5" xfId="166" xr:uid="{00000000-0005-0000-0000-00001D010000}"/>
    <cellStyle name="Normal 5 5 2" xfId="233" xr:uid="{00000000-0005-0000-0000-00001E010000}"/>
    <cellStyle name="Normal 5 5 3" xfId="253" xr:uid="{00000000-0005-0000-0000-00001F010000}"/>
    <cellStyle name="Normal 5 6" xfId="223" xr:uid="{00000000-0005-0000-0000-000020010000}"/>
    <cellStyle name="Normal 5 7" xfId="244" xr:uid="{00000000-0005-0000-0000-000021010000}"/>
    <cellStyle name="Normal 5_Comments &amp; Questions" xfId="304" xr:uid="{00000000-0005-0000-0000-000022010000}"/>
    <cellStyle name="Normal 6" xfId="120" xr:uid="{00000000-0005-0000-0000-000023010000}"/>
    <cellStyle name="Normal 6 2" xfId="305" xr:uid="{00000000-0005-0000-0000-000024010000}"/>
    <cellStyle name="Normal 7" xfId="121" xr:uid="{00000000-0005-0000-0000-000025010000}"/>
    <cellStyle name="Normal 7 2" xfId="122" xr:uid="{00000000-0005-0000-0000-000026010000}"/>
    <cellStyle name="Normal 7 2 2" xfId="123" xr:uid="{00000000-0005-0000-0000-000027010000}"/>
    <cellStyle name="Normal 8" xfId="124" xr:uid="{00000000-0005-0000-0000-000028010000}"/>
    <cellStyle name="Normal 9" xfId="125" xr:uid="{00000000-0005-0000-0000-000029010000}"/>
    <cellStyle name="Normal_Additional_Exhibit_-_Capital_Required_for_Balance_Sheet_Assets(1)" xfId="5" xr:uid="{00000000-0005-0000-0000-00002A010000}"/>
    <cellStyle name="Normal_Canadian" xfId="126" xr:uid="{00000000-0005-0000-0000-00002B010000}"/>
    <cellStyle name="Normal_FinInstrumts_P&amp;C1Ann_07May4" xfId="127" xr:uid="{00000000-0005-0000-0000-00002C010000}"/>
    <cellStyle name="Normal_PC1 Interim 2007 a7" xfId="4" xr:uid="{00000000-0005-0000-0000-00002D010000}"/>
    <cellStyle name="Note 2" xfId="129" xr:uid="{00000000-0005-0000-0000-00002E010000}"/>
    <cellStyle name="Note 3" xfId="128" xr:uid="{00000000-0005-0000-0000-00002F010000}"/>
    <cellStyle name="OfWhich" xfId="130" xr:uid="{00000000-0005-0000-0000-000030010000}"/>
    <cellStyle name="Output 2" xfId="131" xr:uid="{00000000-0005-0000-0000-000031010000}"/>
    <cellStyle name="Output 3" xfId="310" xr:uid="{00000000-0005-0000-0000-000032010000}"/>
    <cellStyle name="Percent" xfId="2" builtinId="5"/>
    <cellStyle name="Percent 2" xfId="18" xr:uid="{00000000-0005-0000-0000-000034010000}"/>
    <cellStyle name="Percent 2 2" xfId="133" xr:uid="{00000000-0005-0000-0000-000035010000}"/>
    <cellStyle name="Percent 2 3" xfId="134" xr:uid="{00000000-0005-0000-0000-000036010000}"/>
    <cellStyle name="Percent 2 4" xfId="132" xr:uid="{00000000-0005-0000-0000-000037010000}"/>
    <cellStyle name="Percent 3" xfId="13" xr:uid="{00000000-0005-0000-0000-000038010000}"/>
    <cellStyle name="Percent 3 2" xfId="154" xr:uid="{00000000-0005-0000-0000-000039010000}"/>
    <cellStyle name="Percent 3 3" xfId="135" xr:uid="{00000000-0005-0000-0000-00003A010000}"/>
    <cellStyle name="Percent 4" xfId="153" xr:uid="{00000000-0005-0000-0000-00003B010000}"/>
    <cellStyle name="Percent 5" xfId="260" xr:uid="{00000000-0005-0000-0000-00003C010000}"/>
    <cellStyle name="Percent 5 2" xfId="352" xr:uid="{00000000-0005-0000-0000-00003D010000}"/>
    <cellStyle name="Pourcentage 2" xfId="207" xr:uid="{00000000-0005-0000-0000-00003E010000}"/>
    <cellStyle name="Pourcentage 2 2" xfId="306" xr:uid="{00000000-0005-0000-0000-00003F010000}"/>
    <cellStyle name="Pourcentage 3" xfId="307" xr:uid="{00000000-0005-0000-0000-000040010000}"/>
    <cellStyle name="Pourcentage 6" xfId="308" xr:uid="{00000000-0005-0000-0000-000041010000}"/>
    <cellStyle name="QIS Heading 3" xfId="136" xr:uid="{00000000-0005-0000-0000-000042010000}"/>
    <cellStyle name="Satisfaisant 2" xfId="208" xr:uid="{00000000-0005-0000-0000-000043010000}"/>
    <cellStyle name="Sortie 2" xfId="209" xr:uid="{00000000-0005-0000-0000-000044010000}"/>
    <cellStyle name="STYL0 - Style1" xfId="137" xr:uid="{00000000-0005-0000-0000-000045010000}"/>
    <cellStyle name="STYL1 - Style2" xfId="138" xr:uid="{00000000-0005-0000-0000-000046010000}"/>
    <cellStyle name="STYL2 - Style3" xfId="139" xr:uid="{00000000-0005-0000-0000-000047010000}"/>
    <cellStyle name="STYL3 - Style4" xfId="140" xr:uid="{00000000-0005-0000-0000-000048010000}"/>
    <cellStyle name="STYL4 - Style5" xfId="141" xr:uid="{00000000-0005-0000-0000-000049010000}"/>
    <cellStyle name="STYL5 - Style6" xfId="142" xr:uid="{00000000-0005-0000-0000-00004A010000}"/>
    <cellStyle name="STYL6 - Style7" xfId="143" xr:uid="{00000000-0005-0000-0000-00004B010000}"/>
    <cellStyle name="STYL7 - Style8" xfId="144" xr:uid="{00000000-0005-0000-0000-00004C010000}"/>
    <cellStyle name="subtotals" xfId="145" xr:uid="{00000000-0005-0000-0000-00004D010000}"/>
    <cellStyle name="Texte explicatif 2" xfId="210" xr:uid="{00000000-0005-0000-0000-00004E010000}"/>
    <cellStyle name="Title 2" xfId="146" xr:uid="{00000000-0005-0000-0000-00004F010000}"/>
    <cellStyle name="Title 3" xfId="312" xr:uid="{00000000-0005-0000-0000-000050010000}"/>
    <cellStyle name="Titre 2" xfId="211" xr:uid="{00000000-0005-0000-0000-000051010000}"/>
    <cellStyle name="Titre 1 2" xfId="212" xr:uid="{00000000-0005-0000-0000-000052010000}"/>
    <cellStyle name="Titre 2 2" xfId="213" xr:uid="{00000000-0005-0000-0000-000053010000}"/>
    <cellStyle name="Titre 2 3" xfId="315" xr:uid="{00000000-0005-0000-0000-000054010000}"/>
    <cellStyle name="Titre 3 2" xfId="214" xr:uid="{00000000-0005-0000-0000-000055010000}"/>
    <cellStyle name="Titre 4 2" xfId="215" xr:uid="{00000000-0005-0000-0000-000056010000}"/>
    <cellStyle name="Total 2" xfId="148" xr:uid="{00000000-0005-0000-0000-000057010000}"/>
    <cellStyle name="Total 3" xfId="149" xr:uid="{00000000-0005-0000-0000-000058010000}"/>
    <cellStyle name="Total 4" xfId="216" xr:uid="{00000000-0005-0000-0000-000059010000}"/>
    <cellStyle name="Total 5" xfId="147" xr:uid="{00000000-0005-0000-0000-00005A010000}"/>
    <cellStyle name="UnitValuation" xfId="150" xr:uid="{00000000-0005-0000-0000-00005B010000}"/>
    <cellStyle name="Unlocked" xfId="318" xr:uid="{00000000-0005-0000-0000-00005C010000}"/>
    <cellStyle name="Unlocked Input" xfId="156" xr:uid="{00000000-0005-0000-0000-00005D010000}"/>
    <cellStyle name="Unlocked Input 2" xfId="319" xr:uid="{00000000-0005-0000-0000-00005E010000}"/>
    <cellStyle name="Unlocked Input 3" xfId="320" xr:uid="{00000000-0005-0000-0000-00005F010000}"/>
    <cellStyle name="Unlocked Input 4" xfId="321" xr:uid="{00000000-0005-0000-0000-000060010000}"/>
    <cellStyle name="Vérification 2" xfId="217" xr:uid="{00000000-0005-0000-0000-000061010000}"/>
    <cellStyle name="Vérification 2 2" xfId="240" xr:uid="{00000000-0005-0000-0000-000062010000}"/>
    <cellStyle name="Warning Text 2" xfId="152" xr:uid="{00000000-0005-0000-0000-000063010000}"/>
  </cellStyles>
  <dxfs count="0"/>
  <tableStyles count="1" defaultTableStyle="TableStyleMedium9" defaultPivotStyle="PivotStyleLight16">
    <tableStyle name="Invisible" pivot="0" table="0" count="0" xr9:uid="{5BFE493F-6074-484E-995F-87CD2FB49106}"/>
  </tableStyles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theme="8" tint="0.79998168889431442"/>
    <pageSetUpPr fitToPage="1"/>
  </sheetPr>
  <dimension ref="A1:I53"/>
  <sheetViews>
    <sheetView tabSelected="1" view="pageBreakPreview" zoomScale="115" zoomScaleNormal="40" zoomScaleSheetLayoutView="115" workbookViewId="0">
      <selection activeCell="B29" sqref="B29"/>
    </sheetView>
  </sheetViews>
  <sheetFormatPr defaultColWidth="12.42578125" defaultRowHeight="15.75"/>
  <cols>
    <col min="1" max="1" width="3.7109375" style="76" customWidth="1"/>
    <col min="2" max="2" width="68.7109375" style="76" bestFit="1" customWidth="1"/>
    <col min="3" max="3" width="5.7109375" style="76" customWidth="1"/>
    <col min="4" max="4" width="16.5703125" style="76" customWidth="1"/>
    <col min="5" max="5" width="12.42578125" style="76"/>
    <col min="6" max="6" width="15.42578125" style="76" customWidth="1"/>
    <col min="7" max="7" width="16" style="76" customWidth="1"/>
    <col min="8" max="8" width="3.42578125" style="76" customWidth="1"/>
    <col min="9" max="9" width="5.140625" style="76" customWidth="1"/>
    <col min="10" max="16384" width="12.42578125" style="76"/>
  </cols>
  <sheetData>
    <row r="1" spans="2:9">
      <c r="H1" s="3" t="s">
        <v>0</v>
      </c>
      <c r="I1" s="4" t="s">
        <v>1</v>
      </c>
    </row>
    <row r="2" spans="2:9">
      <c r="H2" s="3" t="s">
        <v>2</v>
      </c>
      <c r="I2" s="4">
        <v>1</v>
      </c>
    </row>
    <row r="4" spans="2:9">
      <c r="B4" s="180">
        <v>50</v>
      </c>
      <c r="C4" s="180"/>
      <c r="D4" s="180"/>
      <c r="E4" s="180"/>
      <c r="F4" s="180"/>
      <c r="G4" s="180"/>
      <c r="H4" s="180"/>
      <c r="I4" s="180"/>
    </row>
    <row r="5" spans="2:9">
      <c r="B5" s="116"/>
      <c r="C5" s="94"/>
      <c r="D5" s="94"/>
      <c r="E5" s="94"/>
      <c r="F5" s="94"/>
      <c r="G5" s="116"/>
      <c r="H5" s="94"/>
    </row>
    <row r="6" spans="2:9">
      <c r="B6" s="93" t="s">
        <v>3</v>
      </c>
      <c r="C6" s="59"/>
      <c r="D6" s="59"/>
      <c r="E6" s="59"/>
      <c r="F6" s="59"/>
      <c r="G6" s="92" t="s">
        <v>4</v>
      </c>
      <c r="H6" s="56"/>
    </row>
    <row r="7" spans="2:9" ht="29.25" customHeight="1">
      <c r="B7" s="181" t="s">
        <v>5</v>
      </c>
      <c r="C7" s="181"/>
      <c r="D7" s="181"/>
      <c r="E7" s="181"/>
      <c r="F7" s="181"/>
      <c r="G7" s="181"/>
      <c r="H7" s="181"/>
      <c r="I7" s="181"/>
    </row>
    <row r="8" spans="2:9" ht="29.25" customHeight="1">
      <c r="B8" s="182" t="s">
        <v>6</v>
      </c>
      <c r="C8" s="182"/>
      <c r="D8" s="182"/>
      <c r="E8" s="182"/>
      <c r="F8" s="182"/>
      <c r="G8" s="182"/>
      <c r="H8" s="182"/>
      <c r="I8" s="182"/>
    </row>
    <row r="9" spans="2:9">
      <c r="B9" s="55"/>
      <c r="C9" s="55"/>
      <c r="D9" s="55"/>
      <c r="E9" s="55"/>
      <c r="F9" s="55"/>
      <c r="G9" s="55"/>
      <c r="H9" s="55"/>
      <c r="I9" s="55"/>
    </row>
    <row r="10" spans="2:9">
      <c r="B10" s="54" t="s">
        <v>7</v>
      </c>
      <c r="C10" s="70"/>
      <c r="D10" s="70"/>
      <c r="E10" s="70"/>
      <c r="F10" s="70"/>
      <c r="G10" s="69"/>
      <c r="H10" s="91"/>
      <c r="I10" s="55"/>
    </row>
    <row r="11" spans="2:9" ht="60">
      <c r="B11" s="68"/>
      <c r="C11" s="67"/>
      <c r="D11" s="66" t="s">
        <v>8</v>
      </c>
      <c r="E11" s="66" t="s">
        <v>9</v>
      </c>
      <c r="F11" s="53" t="s">
        <v>10</v>
      </c>
      <c r="G11" s="66" t="s">
        <v>11</v>
      </c>
      <c r="H11" s="91"/>
      <c r="I11" s="55"/>
    </row>
    <row r="12" spans="2:9">
      <c r="B12" s="90" t="s">
        <v>12</v>
      </c>
      <c r="C12" s="65"/>
      <c r="D12" s="65" t="s">
        <v>13</v>
      </c>
      <c r="E12" s="52" t="s">
        <v>14</v>
      </c>
      <c r="F12" s="52" t="s">
        <v>15</v>
      </c>
      <c r="G12" s="51" t="s">
        <v>16</v>
      </c>
      <c r="H12" s="91"/>
      <c r="I12" s="55"/>
    </row>
    <row r="13" spans="2:9" ht="16.5" customHeight="1">
      <c r="B13" s="50" t="s">
        <v>17</v>
      </c>
      <c r="C13" s="49"/>
      <c r="D13" s="48"/>
      <c r="E13" s="47"/>
      <c r="F13" s="46"/>
      <c r="G13" s="45"/>
      <c r="H13" s="91"/>
      <c r="I13" s="55"/>
    </row>
    <row r="14" spans="2:9" ht="15.75" customHeight="1">
      <c r="B14" s="44" t="s">
        <v>18</v>
      </c>
      <c r="C14" s="64" t="s">
        <v>19</v>
      </c>
      <c r="D14" s="63"/>
      <c r="E14" s="43"/>
      <c r="F14" s="88"/>
      <c r="G14" s="88"/>
      <c r="H14" s="91"/>
      <c r="I14" s="55"/>
    </row>
    <row r="15" spans="2:9">
      <c r="B15" s="87" t="s">
        <v>20</v>
      </c>
      <c r="C15" s="64" t="s">
        <v>21</v>
      </c>
      <c r="D15" s="86"/>
      <c r="E15" s="62"/>
      <c r="F15" s="99"/>
      <c r="G15" s="99"/>
      <c r="H15" s="91"/>
      <c r="I15" s="55"/>
    </row>
    <row r="16" spans="2:9">
      <c r="B16" s="87" t="s">
        <v>22</v>
      </c>
      <c r="C16" s="64" t="s">
        <v>23</v>
      </c>
      <c r="D16" s="86"/>
      <c r="E16" s="62"/>
      <c r="F16" s="99"/>
      <c r="G16" s="99"/>
      <c r="H16" s="91"/>
      <c r="I16" s="55"/>
    </row>
    <row r="17" spans="2:9">
      <c r="B17" s="87" t="s">
        <v>24</v>
      </c>
      <c r="C17" s="64" t="s">
        <v>25</v>
      </c>
      <c r="D17" s="86"/>
      <c r="E17" s="62"/>
      <c r="F17" s="99"/>
      <c r="G17" s="99"/>
      <c r="H17" s="91"/>
      <c r="I17" s="55"/>
    </row>
    <row r="18" spans="2:9">
      <c r="B18" s="87" t="s">
        <v>26</v>
      </c>
      <c r="C18" s="64" t="s">
        <v>27</v>
      </c>
      <c r="D18" s="86"/>
      <c r="E18" s="62"/>
      <c r="F18" s="99"/>
      <c r="G18" s="99"/>
      <c r="H18" s="91"/>
      <c r="I18" s="55"/>
    </row>
    <row r="19" spans="2:9">
      <c r="B19" s="87" t="s">
        <v>28</v>
      </c>
      <c r="C19" s="64" t="s">
        <v>29</v>
      </c>
      <c r="D19" s="86"/>
      <c r="E19" s="62"/>
      <c r="F19" s="99"/>
      <c r="G19" s="99"/>
      <c r="H19" s="55"/>
      <c r="I19" s="55"/>
    </row>
    <row r="20" spans="2:9">
      <c r="B20" s="87" t="s">
        <v>30</v>
      </c>
      <c r="C20" s="64" t="s">
        <v>31</v>
      </c>
      <c r="D20" s="86"/>
      <c r="E20" s="62"/>
      <c r="F20" s="99"/>
      <c r="G20" s="99"/>
      <c r="H20" s="55"/>
      <c r="I20" s="55"/>
    </row>
    <row r="21" spans="2:9">
      <c r="B21" s="33" t="s">
        <v>32</v>
      </c>
      <c r="C21" s="64" t="s">
        <v>33</v>
      </c>
      <c r="D21" s="57"/>
      <c r="E21" s="58"/>
      <c r="F21" s="42"/>
      <c r="G21" s="42"/>
      <c r="H21" s="55"/>
      <c r="I21" s="55"/>
    </row>
    <row r="22" spans="2:9">
      <c r="B22" s="41" t="s">
        <v>34</v>
      </c>
      <c r="C22" s="64" t="s">
        <v>35</v>
      </c>
      <c r="D22" s="40"/>
      <c r="E22" s="39"/>
      <c r="F22" s="38"/>
      <c r="G22" s="38"/>
      <c r="H22" s="55"/>
      <c r="I22" s="55"/>
    </row>
    <row r="23" spans="2:9">
      <c r="B23" s="41" t="s">
        <v>36</v>
      </c>
      <c r="C23" s="64" t="s">
        <v>37</v>
      </c>
      <c r="D23" s="40"/>
      <c r="E23" s="39"/>
      <c r="F23" s="38"/>
      <c r="G23" s="38"/>
      <c r="H23" s="55"/>
      <c r="I23" s="55"/>
    </row>
    <row r="24" spans="2:9">
      <c r="B24" s="41" t="s">
        <v>38</v>
      </c>
      <c r="C24" s="64" t="s">
        <v>39</v>
      </c>
      <c r="D24" s="109">
        <f>'App B Sh2 - AIC'!C41</f>
        <v>2012.2708071374286</v>
      </c>
      <c r="E24" s="157">
        <f>'App B Sh2 - AIC'!C57</f>
        <v>1.7983852133141833</v>
      </c>
      <c r="F24" s="110">
        <f>D24*E24*1.25%</f>
        <v>45.235475809246857</v>
      </c>
      <c r="G24" s="110">
        <f>E24*D24*-1.25%</f>
        <v>-45.235475809246857</v>
      </c>
      <c r="H24" s="55"/>
      <c r="I24" s="55"/>
    </row>
    <row r="25" spans="2:9">
      <c r="B25" s="33" t="s">
        <v>40</v>
      </c>
      <c r="C25" s="64" t="s">
        <v>41</v>
      </c>
      <c r="D25" s="114">
        <f>'App C Sh3 - ARC'!I18</f>
        <v>675.17786236675511</v>
      </c>
      <c r="E25" s="158">
        <f>'App C Sh3 - ARC'!J18</f>
        <v>1.3720738415605502</v>
      </c>
      <c r="F25" s="115">
        <f>D25*E25*1.25%</f>
        <v>11.579923541927428</v>
      </c>
      <c r="G25" s="115">
        <f>E25*D25*-1.25%</f>
        <v>-11.579923541927428</v>
      </c>
      <c r="H25" s="55"/>
      <c r="I25" s="55"/>
    </row>
    <row r="26" spans="2:9">
      <c r="B26" s="89" t="s">
        <v>42</v>
      </c>
      <c r="C26" s="64" t="s">
        <v>43</v>
      </c>
      <c r="D26" s="57"/>
      <c r="E26" s="58"/>
      <c r="F26" s="42"/>
      <c r="G26" s="42"/>
      <c r="H26" s="55"/>
      <c r="I26" s="55"/>
    </row>
    <row r="27" spans="2:9">
      <c r="B27" s="37" t="s">
        <v>44</v>
      </c>
      <c r="C27" s="64" t="s">
        <v>45</v>
      </c>
      <c r="D27" s="36">
        <f>SUM(D14:D26)</f>
        <v>2687.4486695041837</v>
      </c>
      <c r="E27" s="35"/>
      <c r="F27" s="99">
        <f t="shared" ref="F27:G27" si="0">SUM(F14:F26)</f>
        <v>56.815399351174285</v>
      </c>
      <c r="G27" s="99">
        <f t="shared" si="0"/>
        <v>-56.815399351174285</v>
      </c>
      <c r="H27" s="55"/>
      <c r="I27" s="55"/>
    </row>
    <row r="28" spans="2:9">
      <c r="B28" s="100" t="s">
        <v>46</v>
      </c>
      <c r="C28" s="64"/>
      <c r="D28" s="36"/>
      <c r="E28" s="72"/>
      <c r="F28" s="81"/>
      <c r="G28" s="99"/>
      <c r="H28" s="55"/>
      <c r="I28" s="55"/>
    </row>
    <row r="29" spans="2:9">
      <c r="B29" s="44" t="s">
        <v>232</v>
      </c>
      <c r="C29" s="78" t="s">
        <v>47</v>
      </c>
      <c r="D29" s="26">
        <f>'App B Sh1 - LIC'!C41</f>
        <v>7456.1356655299642</v>
      </c>
      <c r="E29" s="159">
        <f>'App B Sh1 - LIC'!C57</f>
        <v>1.3030643126935584</v>
      </c>
      <c r="F29" s="83">
        <f>D29*E29*1.25%</f>
        <v>121.44780370442163</v>
      </c>
      <c r="G29" s="83">
        <f>E29*D29*-1.25%</f>
        <v>-121.44780370442163</v>
      </c>
      <c r="H29" s="55"/>
      <c r="I29" s="55"/>
    </row>
    <row r="30" spans="2:9" ht="15.75" customHeight="1">
      <c r="B30" s="87" t="s">
        <v>48</v>
      </c>
      <c r="C30" s="64" t="s">
        <v>49</v>
      </c>
      <c r="D30" s="111">
        <f>E52</f>
        <v>3500.7114494670204</v>
      </c>
      <c r="E30" s="160">
        <f>F52</f>
        <v>1.0585206998369356</v>
      </c>
      <c r="F30" s="112">
        <f>D30*E30*1.25%</f>
        <v>46.319694167712555</v>
      </c>
      <c r="G30" s="112">
        <f>E30*D30*-1.25%</f>
        <v>-46.319694167712555</v>
      </c>
      <c r="H30" s="55"/>
      <c r="I30" s="55"/>
    </row>
    <row r="31" spans="2:9">
      <c r="B31" s="34" t="s">
        <v>50</v>
      </c>
      <c r="C31" s="64" t="s">
        <v>51</v>
      </c>
      <c r="D31" s="40"/>
      <c r="E31" s="39"/>
      <c r="F31" s="38"/>
      <c r="G31" s="38"/>
      <c r="H31" s="55"/>
      <c r="I31" s="55"/>
    </row>
    <row r="32" spans="2:9">
      <c r="B32" s="34" t="s">
        <v>52</v>
      </c>
      <c r="C32" s="64" t="s">
        <v>53</v>
      </c>
      <c r="D32" s="40"/>
      <c r="E32" s="39"/>
      <c r="F32" s="38"/>
      <c r="G32" s="38"/>
      <c r="H32" s="55"/>
      <c r="I32" s="55"/>
    </row>
    <row r="33" spans="1:9">
      <c r="B33" s="41" t="s">
        <v>54</v>
      </c>
      <c r="C33" s="64" t="s">
        <v>55</v>
      </c>
      <c r="D33" s="40"/>
      <c r="E33" s="39"/>
      <c r="F33" s="38"/>
      <c r="G33" s="38"/>
      <c r="H33" s="55"/>
      <c r="I33" s="55"/>
    </row>
    <row r="34" spans="1:9">
      <c r="B34" s="33" t="s">
        <v>54</v>
      </c>
      <c r="C34" s="64" t="s">
        <v>56</v>
      </c>
      <c r="D34" s="57"/>
      <c r="E34" s="58"/>
      <c r="F34" s="42"/>
      <c r="G34" s="42"/>
      <c r="H34" s="55"/>
      <c r="I34" s="55"/>
    </row>
    <row r="35" spans="1:9">
      <c r="B35" s="37" t="s">
        <v>57</v>
      </c>
      <c r="C35" s="64" t="s">
        <v>58</v>
      </c>
      <c r="D35" s="36">
        <f>SUM(D29:D34)</f>
        <v>10956.847114996985</v>
      </c>
      <c r="E35" s="35"/>
      <c r="F35" s="99">
        <f>SUM(F29:F34)</f>
        <v>167.76749787213419</v>
      </c>
      <c r="G35" s="99">
        <f>SUM(G29:G34)</f>
        <v>-167.76749787213419</v>
      </c>
      <c r="H35" s="55"/>
      <c r="I35" s="55"/>
    </row>
    <row r="36" spans="1:9" ht="30">
      <c r="B36" s="50"/>
      <c r="C36" s="64"/>
      <c r="D36" s="32" t="s">
        <v>59</v>
      </c>
      <c r="E36" s="31"/>
      <c r="F36" s="30" t="s">
        <v>60</v>
      </c>
      <c r="G36" s="30" t="s">
        <v>61</v>
      </c>
      <c r="H36" s="55"/>
      <c r="I36" s="55"/>
    </row>
    <row r="37" spans="1:9">
      <c r="B37" s="50" t="s">
        <v>62</v>
      </c>
      <c r="C37" s="64"/>
      <c r="D37" s="65" t="s">
        <v>63</v>
      </c>
      <c r="E37" s="29"/>
      <c r="F37" s="52" t="s">
        <v>64</v>
      </c>
      <c r="G37" s="51" t="s">
        <v>65</v>
      </c>
      <c r="H37" s="55"/>
      <c r="I37" s="55"/>
    </row>
    <row r="38" spans="1:9">
      <c r="B38" s="44" t="s">
        <v>66</v>
      </c>
      <c r="C38" s="64" t="s">
        <v>67</v>
      </c>
      <c r="D38" s="28"/>
      <c r="E38" s="35"/>
      <c r="F38" s="85"/>
      <c r="G38" s="27"/>
      <c r="H38" s="55"/>
      <c r="I38" s="55"/>
    </row>
    <row r="39" spans="1:9">
      <c r="B39" s="33" t="s">
        <v>68</v>
      </c>
      <c r="C39" s="64" t="s">
        <v>69</v>
      </c>
      <c r="D39" s="84"/>
      <c r="E39" s="77"/>
      <c r="F39" s="71"/>
      <c r="G39" s="80"/>
      <c r="H39" s="55"/>
      <c r="I39" s="55"/>
    </row>
    <row r="40" spans="1:9">
      <c r="B40" s="37" t="s">
        <v>70</v>
      </c>
      <c r="C40" s="64" t="s">
        <v>71</v>
      </c>
      <c r="D40" s="74"/>
      <c r="E40" s="61"/>
      <c r="F40" s="99"/>
      <c r="G40" s="99"/>
      <c r="H40" s="55"/>
      <c r="I40" s="55"/>
    </row>
    <row r="41" spans="1:9">
      <c r="B41" s="44" t="s">
        <v>72</v>
      </c>
      <c r="C41" s="64" t="s">
        <v>73</v>
      </c>
      <c r="D41" s="101"/>
      <c r="E41" s="97"/>
      <c r="F41" s="88">
        <f>F35-F27</f>
        <v>110.95209852095991</v>
      </c>
      <c r="G41" s="29"/>
      <c r="H41" s="55"/>
      <c r="I41" s="55"/>
    </row>
    <row r="42" spans="1:9">
      <c r="B42" s="33" t="s">
        <v>74</v>
      </c>
      <c r="C42" s="64" t="s">
        <v>75</v>
      </c>
      <c r="D42" s="96"/>
      <c r="E42" s="98"/>
      <c r="F42" s="95"/>
      <c r="G42" s="99">
        <f>G35-G27</f>
        <v>-110.95209852095991</v>
      </c>
      <c r="H42" s="55"/>
      <c r="I42" s="55"/>
    </row>
    <row r="43" spans="1:9" ht="30">
      <c r="B43" s="79" t="s">
        <v>76</v>
      </c>
      <c r="C43" s="64" t="s">
        <v>77</v>
      </c>
      <c r="D43" s="74"/>
      <c r="E43" s="61"/>
      <c r="F43" s="35"/>
      <c r="G43" s="99">
        <f>MAX(F41,G42)</f>
        <v>110.95209852095991</v>
      </c>
      <c r="H43" s="55"/>
      <c r="I43" s="55"/>
    </row>
    <row r="44" spans="1:9">
      <c r="B44" s="73"/>
      <c r="C44" s="82"/>
      <c r="D44" s="73"/>
      <c r="E44" s="73"/>
      <c r="F44" s="73"/>
      <c r="G44" s="75"/>
      <c r="H44" s="73"/>
    </row>
    <row r="45" spans="1:9">
      <c r="A45" s="176" t="s">
        <v>78</v>
      </c>
      <c r="B45" s="165"/>
      <c r="C45" s="166"/>
      <c r="D45" s="165"/>
      <c r="E45" s="165"/>
      <c r="F45" s="165"/>
      <c r="G45" s="165"/>
      <c r="H45" s="73"/>
    </row>
    <row r="46" spans="1:9">
      <c r="A46" s="177"/>
      <c r="B46" s="165" t="s">
        <v>79</v>
      </c>
      <c r="C46" s="166"/>
      <c r="D46" s="165"/>
      <c r="E46" s="165"/>
      <c r="F46" s="165"/>
      <c r="G46" s="165"/>
      <c r="H46" s="73"/>
    </row>
    <row r="47" spans="1:9">
      <c r="A47" s="177"/>
      <c r="B47" s="165" t="s">
        <v>80</v>
      </c>
      <c r="C47" s="166"/>
      <c r="D47" s="165"/>
      <c r="E47" s="165"/>
      <c r="F47" s="165"/>
      <c r="G47" s="165"/>
      <c r="H47" s="73"/>
    </row>
    <row r="48" spans="1:9">
      <c r="A48" s="177"/>
      <c r="B48" s="165" t="s">
        <v>81</v>
      </c>
      <c r="C48" s="177"/>
      <c r="D48" s="177"/>
      <c r="E48" s="165"/>
      <c r="F48" s="167" t="s">
        <v>82</v>
      </c>
      <c r="G48" s="177"/>
      <c r="H48" s="73"/>
    </row>
    <row r="49" spans="1:8">
      <c r="A49" s="177"/>
      <c r="B49" s="165" t="s">
        <v>83</v>
      </c>
      <c r="C49" s="177"/>
      <c r="D49" s="168" t="s">
        <v>84</v>
      </c>
      <c r="E49" s="169" t="s">
        <v>85</v>
      </c>
      <c r="F49" s="169" t="s">
        <v>86</v>
      </c>
      <c r="G49" s="169" t="s">
        <v>87</v>
      </c>
      <c r="H49" s="73"/>
    </row>
    <row r="50" spans="1:8">
      <c r="A50" s="177"/>
      <c r="B50" s="177"/>
      <c r="C50" s="177"/>
      <c r="D50" s="170" t="s">
        <v>88</v>
      </c>
      <c r="E50" s="171">
        <f>'App C Sh1 - LRC(onerous)'!I43</f>
        <v>2100.7114494670204</v>
      </c>
      <c r="F50" s="172">
        <f>'App C Sh1 - LRC(onerous)'!C58</f>
        <v>1.7639621730805342</v>
      </c>
      <c r="G50" s="171" t="s">
        <v>89</v>
      </c>
      <c r="H50" s="73"/>
    </row>
    <row r="51" spans="1:8">
      <c r="A51" s="177"/>
      <c r="B51" s="177"/>
      <c r="C51" s="177"/>
      <c r="D51" s="173" t="s">
        <v>90</v>
      </c>
      <c r="E51" s="174">
        <f>'App C Sh2 - LRC (non onerous)'!I18</f>
        <v>1400</v>
      </c>
      <c r="F51" s="175">
        <f>'App C Sh2 - LRC (non onerous)'!J18</f>
        <v>0</v>
      </c>
      <c r="G51" s="174" t="s">
        <v>91</v>
      </c>
    </row>
    <row r="52" spans="1:8">
      <c r="A52" s="177"/>
      <c r="B52" s="177"/>
      <c r="C52" s="177"/>
      <c r="D52" s="170" t="s">
        <v>92</v>
      </c>
      <c r="E52" s="171">
        <f>SUM(E50:E51)</f>
        <v>3500.7114494670204</v>
      </c>
      <c r="F52" s="172">
        <f>SUMPRODUCT(F50:F51,E50:E51)/E52</f>
        <v>1.0585206998369356</v>
      </c>
      <c r="G52" s="177"/>
    </row>
    <row r="53" spans="1:8">
      <c r="A53" s="177"/>
      <c r="B53" s="177"/>
      <c r="C53" s="177"/>
      <c r="D53" s="177"/>
      <c r="E53" s="177"/>
      <c r="F53" s="177"/>
      <c r="G53" s="177"/>
    </row>
  </sheetData>
  <mergeCells count="3">
    <mergeCell ref="B4:I4"/>
    <mergeCell ref="B7:I7"/>
    <mergeCell ref="B8:I8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0.59999389629810485"/>
  </sheetPr>
  <dimension ref="A1:N78"/>
  <sheetViews>
    <sheetView view="pageBreakPreview" topLeftCell="A10" zoomScale="81" zoomScaleNormal="85" zoomScaleSheetLayoutView="145" workbookViewId="0">
      <selection activeCell="C57" sqref="C57"/>
    </sheetView>
  </sheetViews>
  <sheetFormatPr defaultColWidth="9.140625" defaultRowHeight="15" customHeight="1"/>
  <cols>
    <col min="1" max="1" width="6.7109375" style="2" customWidth="1"/>
    <col min="2" max="2" width="17.7109375" style="2" customWidth="1"/>
    <col min="3" max="5" width="11.7109375" style="2" customWidth="1"/>
    <col min="6" max="6" width="12.140625" style="2" customWidth="1"/>
    <col min="7" max="7" width="12.7109375" style="2" customWidth="1"/>
    <col min="8" max="8" width="12.140625" style="2" customWidth="1"/>
    <col min="9" max="9" width="11.7109375" style="2" customWidth="1"/>
    <col min="10" max="11" width="13.7109375" style="2" customWidth="1"/>
    <col min="12" max="12" width="3.140625" style="2" customWidth="1"/>
    <col min="13" max="21" width="11.7109375" style="2" customWidth="1"/>
    <col min="22" max="16384" width="9.140625" style="2"/>
  </cols>
  <sheetData>
    <row r="1" spans="1:12" ht="15" customHeight="1">
      <c r="A1" s="1" t="s">
        <v>233</v>
      </c>
      <c r="K1" s="3" t="s">
        <v>0</v>
      </c>
      <c r="L1" s="4" t="s">
        <v>93</v>
      </c>
    </row>
    <row r="2" spans="1:12" ht="15" customHeight="1">
      <c r="K2" s="3" t="s">
        <v>2</v>
      </c>
      <c r="L2" s="4">
        <v>1</v>
      </c>
    </row>
    <row r="3" spans="1:12" ht="15" customHeight="1">
      <c r="B3" s="5" t="s">
        <v>94</v>
      </c>
      <c r="I3" s="6"/>
      <c r="J3" s="6"/>
    </row>
    <row r="4" spans="1:12" ht="15" customHeight="1">
      <c r="B4" s="2" t="s">
        <v>95</v>
      </c>
      <c r="I4" s="6"/>
      <c r="J4" s="6"/>
    </row>
    <row r="5" spans="1:12" ht="15" customHeight="1">
      <c r="B5" s="2" t="s">
        <v>96</v>
      </c>
      <c r="F5" s="102">
        <v>0.1</v>
      </c>
      <c r="I5" s="6"/>
      <c r="J5" s="6"/>
    </row>
    <row r="6" spans="1:12" ht="15" customHeight="1">
      <c r="B6" s="2" t="s">
        <v>97</v>
      </c>
      <c r="I6" s="6"/>
      <c r="J6" s="6"/>
    </row>
    <row r="8" spans="1:12" ht="15" customHeight="1">
      <c r="B8" s="7" t="s">
        <v>98</v>
      </c>
      <c r="F8" s="5" t="s">
        <v>99</v>
      </c>
      <c r="J8" s="5" t="s">
        <v>100</v>
      </c>
    </row>
    <row r="9" spans="1:12" ht="15" customHeight="1">
      <c r="B9" s="7"/>
      <c r="F9" s="5"/>
      <c r="J9" s="5"/>
    </row>
    <row r="10" spans="1:12" s="8" customFormat="1" ht="15" customHeight="1">
      <c r="B10" s="8" t="s">
        <v>101</v>
      </c>
      <c r="C10" s="8" t="s">
        <v>102</v>
      </c>
      <c r="F10" s="8" t="s">
        <v>103</v>
      </c>
      <c r="G10" s="8" t="s">
        <v>102</v>
      </c>
      <c r="J10" s="8" t="s">
        <v>104</v>
      </c>
      <c r="K10" s="8" t="s">
        <v>105</v>
      </c>
    </row>
    <row r="11" spans="1:12" ht="15" customHeight="1">
      <c r="B11" s="9">
        <f t="shared" ref="B11:B13" si="0">B12-1</f>
        <v>2019</v>
      </c>
      <c r="C11" s="16">
        <v>0</v>
      </c>
      <c r="D11" s="16"/>
      <c r="E11" s="13"/>
      <c r="F11" s="13">
        <v>12</v>
      </c>
      <c r="G11" s="15">
        <v>0.35</v>
      </c>
      <c r="H11" s="15"/>
      <c r="J11" s="13">
        <v>1</v>
      </c>
      <c r="K11" s="17">
        <v>0.03</v>
      </c>
    </row>
    <row r="12" spans="1:12" ht="15" customHeight="1">
      <c r="B12" s="9">
        <f t="shared" si="0"/>
        <v>2020</v>
      </c>
      <c r="C12" s="16">
        <v>2000</v>
      </c>
      <c r="D12" s="16"/>
      <c r="E12" s="13"/>
      <c r="F12" s="13">
        <f>F11+12</f>
        <v>24</v>
      </c>
      <c r="G12" s="15">
        <v>0.7</v>
      </c>
      <c r="H12" s="15"/>
      <c r="J12" s="13">
        <f>J11+1</f>
        <v>2</v>
      </c>
      <c r="K12" s="17">
        <f>K11+0.2%</f>
        <v>3.2000000000000001E-2</v>
      </c>
    </row>
    <row r="13" spans="1:12" ht="15" customHeight="1">
      <c r="B13" s="9">
        <f t="shared" si="0"/>
        <v>2021</v>
      </c>
      <c r="C13" s="16">
        <v>1000</v>
      </c>
      <c r="D13" s="16"/>
      <c r="E13" s="13"/>
      <c r="F13" s="13">
        <f t="shared" ref="F13:F16" si="1">F12+12</f>
        <v>36</v>
      </c>
      <c r="G13" s="15">
        <v>0.8</v>
      </c>
      <c r="H13" s="15"/>
      <c r="J13" s="13">
        <f t="shared" ref="J13:J16" si="2">J12+1</f>
        <v>3</v>
      </c>
      <c r="K13" s="17">
        <f t="shared" ref="K13:K16" si="3">K12+0.2%</f>
        <v>3.4000000000000002E-2</v>
      </c>
    </row>
    <row r="14" spans="1:12" ht="15" customHeight="1">
      <c r="B14" s="9">
        <f>B15-1</f>
        <v>2022</v>
      </c>
      <c r="C14" s="16">
        <v>1500</v>
      </c>
      <c r="D14" s="16"/>
      <c r="E14" s="13"/>
      <c r="F14" s="13">
        <f t="shared" si="1"/>
        <v>48</v>
      </c>
      <c r="G14" s="15">
        <v>0.85</v>
      </c>
      <c r="H14" s="15"/>
      <c r="J14" s="13">
        <f t="shared" si="2"/>
        <v>4</v>
      </c>
      <c r="K14" s="17">
        <f t="shared" si="3"/>
        <v>3.6000000000000004E-2</v>
      </c>
    </row>
    <row r="15" spans="1:12" ht="15" customHeight="1">
      <c r="B15" s="9">
        <v>2023</v>
      </c>
      <c r="C15" s="16">
        <v>2500</v>
      </c>
      <c r="D15" s="16"/>
      <c r="E15" s="13"/>
      <c r="F15" s="13">
        <f t="shared" si="1"/>
        <v>60</v>
      </c>
      <c r="G15" s="15">
        <v>0.95</v>
      </c>
      <c r="H15" s="15"/>
      <c r="J15" s="13">
        <f t="shared" si="2"/>
        <v>5</v>
      </c>
      <c r="K15" s="17">
        <f t="shared" si="3"/>
        <v>3.8000000000000006E-2</v>
      </c>
    </row>
    <row r="16" spans="1:12" ht="15" customHeight="1">
      <c r="C16" s="13"/>
      <c r="D16" s="13"/>
      <c r="E16" s="13"/>
      <c r="F16" s="13">
        <f t="shared" si="1"/>
        <v>72</v>
      </c>
      <c r="G16" s="15">
        <v>1</v>
      </c>
      <c r="H16" s="15"/>
      <c r="J16" s="13">
        <f t="shared" si="2"/>
        <v>6</v>
      </c>
      <c r="K16" s="17">
        <f t="shared" si="3"/>
        <v>4.0000000000000008E-2</v>
      </c>
    </row>
    <row r="17" spans="2:11" ht="15" customHeight="1">
      <c r="C17" s="13"/>
      <c r="D17" s="13"/>
      <c r="E17" s="13"/>
      <c r="F17" s="13"/>
      <c r="G17" s="15"/>
      <c r="H17" s="15"/>
      <c r="J17" s="13"/>
      <c r="K17" s="17"/>
    </row>
    <row r="18" spans="2:11" ht="15" customHeight="1">
      <c r="B18" s="1" t="s">
        <v>106</v>
      </c>
    </row>
    <row r="19" spans="2:11" ht="15" customHeight="1">
      <c r="D19" s="183" t="s">
        <v>107</v>
      </c>
      <c r="E19" s="183"/>
      <c r="F19" s="183"/>
      <c r="G19" s="183"/>
      <c r="H19" s="183"/>
      <c r="I19" s="183"/>
      <c r="J19" s="183"/>
      <c r="K19" s="129"/>
    </row>
    <row r="20" spans="2:11" ht="15" customHeight="1">
      <c r="B20" s="8" t="s">
        <v>101</v>
      </c>
      <c r="C20" s="12" t="s">
        <v>108</v>
      </c>
      <c r="D20" s="9">
        <f>B25+1</f>
        <v>2024</v>
      </c>
      <c r="E20" s="9">
        <f>D20+1</f>
        <v>2025</v>
      </c>
      <c r="F20" s="9">
        <f t="shared" ref="F20:J20" si="4">E20+1</f>
        <v>2026</v>
      </c>
      <c r="G20" s="9">
        <f t="shared" si="4"/>
        <v>2027</v>
      </c>
      <c r="H20" s="9">
        <f t="shared" si="4"/>
        <v>2028</v>
      </c>
      <c r="I20" s="9">
        <f t="shared" si="4"/>
        <v>2029</v>
      </c>
      <c r="J20" s="9">
        <f t="shared" si="4"/>
        <v>2030</v>
      </c>
      <c r="K20" s="9">
        <f>J20+1</f>
        <v>2031</v>
      </c>
    </row>
    <row r="21" spans="2:11" ht="15" customHeight="1">
      <c r="B21" s="9">
        <f t="shared" ref="B21:C25" si="5">B11</f>
        <v>2019</v>
      </c>
      <c r="C21" s="18">
        <f t="shared" si="5"/>
        <v>0</v>
      </c>
      <c r="D21" s="18">
        <v>0</v>
      </c>
      <c r="E21" s="18"/>
      <c r="F21" s="18"/>
      <c r="G21" s="18"/>
      <c r="H21" s="18"/>
      <c r="I21" s="18"/>
      <c r="J21" s="18"/>
    </row>
    <row r="22" spans="2:11" ht="15" customHeight="1">
      <c r="B22" s="9">
        <f t="shared" si="5"/>
        <v>2020</v>
      </c>
      <c r="C22" s="18">
        <f t="shared" si="5"/>
        <v>2000</v>
      </c>
      <c r="D22" s="18">
        <f>$C22/(1-$G$14)*($G$15-$G$14)</f>
        <v>1333.3333333333328</v>
      </c>
      <c r="E22" s="18">
        <f>$C22/(1-$G$14)*($G$16-$G$15)</f>
        <v>666.6666666666672</v>
      </c>
      <c r="F22" s="18"/>
      <c r="G22" s="18"/>
      <c r="H22" s="18"/>
      <c r="I22" s="18"/>
      <c r="J22" s="18"/>
    </row>
    <row r="23" spans="2:11" ht="15" customHeight="1">
      <c r="B23" s="9">
        <f t="shared" si="5"/>
        <v>2021</v>
      </c>
      <c r="C23" s="18">
        <f t="shared" si="5"/>
        <v>1000</v>
      </c>
      <c r="D23" s="18">
        <f>$C23/(1-$G$13)*($G$14-$G$13)</f>
        <v>249.99999999999972</v>
      </c>
      <c r="E23" s="18">
        <f>$C23/(1-$G$13)*($G$15-$G$14)</f>
        <v>500</v>
      </c>
      <c r="F23" s="18">
        <f>$C23/(1-$G$13)*($G$16-$G$15)</f>
        <v>250.00000000000026</v>
      </c>
      <c r="G23" s="18"/>
      <c r="H23" s="18"/>
      <c r="I23" s="18"/>
      <c r="J23" s="18"/>
    </row>
    <row r="24" spans="2:11" ht="15" customHeight="1">
      <c r="B24" s="9">
        <f t="shared" si="5"/>
        <v>2022</v>
      </c>
      <c r="C24" s="18">
        <f t="shared" si="5"/>
        <v>1500</v>
      </c>
      <c r="D24" s="18">
        <f>$C24/(1-$G$12)*($G$13-$G$12)</f>
        <v>500.00000000000034</v>
      </c>
      <c r="E24" s="18">
        <f>$C24/(1-$G$12)*($G$14-$G$13)</f>
        <v>249.99999999999963</v>
      </c>
      <c r="F24" s="18">
        <f>$C24/(1-$G$12)*($G$15-$G$14)</f>
        <v>499.99999999999977</v>
      </c>
      <c r="G24" s="18">
        <f>$C24/(1-$G$12)*($G$16-$G$15)</f>
        <v>250.00000000000017</v>
      </c>
      <c r="H24" s="18"/>
      <c r="I24" s="18"/>
      <c r="J24" s="18"/>
    </row>
    <row r="25" spans="2:11" ht="15" customHeight="1">
      <c r="B25" s="117">
        <f t="shared" si="5"/>
        <v>2023</v>
      </c>
      <c r="C25" s="118">
        <f t="shared" si="5"/>
        <v>2500</v>
      </c>
      <c r="D25" s="118">
        <f>$C25/(1-$G$11)*($G$12-$G$11)</f>
        <v>1346.1538461538462</v>
      </c>
      <c r="E25" s="118">
        <f>$C25/(1-$G$11)*($G$13-$G$12)</f>
        <v>384.61538461538498</v>
      </c>
      <c r="F25" s="118">
        <f>$C25/(1-$G$11)*($G$14-$G$13)</f>
        <v>192.30769230769207</v>
      </c>
      <c r="G25" s="118">
        <f>$C25/(1-$G$11)*($G$15-$G$14)</f>
        <v>384.61538461538453</v>
      </c>
      <c r="H25" s="118">
        <f>$C25/(1-$G$11)*($G$16-$G$15)</f>
        <v>192.30769230769249</v>
      </c>
      <c r="I25" s="118"/>
      <c r="J25" s="118"/>
      <c r="K25" s="118"/>
    </row>
    <row r="26" spans="2:11" ht="15" customHeight="1">
      <c r="B26" s="13" t="s">
        <v>92</v>
      </c>
      <c r="C26" s="18">
        <f>SUM(C21:C25)</f>
        <v>7000</v>
      </c>
      <c r="D26" s="18">
        <f t="shared" ref="D26:J26" si="6">SUM(D21:D25)</f>
        <v>3429.4871794871792</v>
      </c>
      <c r="E26" s="18">
        <f t="shared" si="6"/>
        <v>1801.2820512820517</v>
      </c>
      <c r="F26" s="18">
        <f t="shared" si="6"/>
        <v>942.30769230769204</v>
      </c>
      <c r="G26" s="18">
        <f t="shared" si="6"/>
        <v>634.61538461538476</v>
      </c>
      <c r="H26" s="18">
        <f t="shared" si="6"/>
        <v>192.30769230769249</v>
      </c>
      <c r="I26" s="18">
        <f t="shared" si="6"/>
        <v>0</v>
      </c>
      <c r="J26" s="18">
        <f t="shared" si="6"/>
        <v>0</v>
      </c>
      <c r="K26" s="18">
        <f t="shared" ref="K26" si="7">SUM(K21:K25)</f>
        <v>0</v>
      </c>
    </row>
    <row r="27" spans="2:11" ht="15" customHeight="1">
      <c r="B27" s="13" t="s">
        <v>109</v>
      </c>
      <c r="C27" s="6" t="s">
        <v>110</v>
      </c>
      <c r="D27" s="18"/>
      <c r="E27" s="18"/>
      <c r="F27" s="18"/>
      <c r="G27" s="18"/>
      <c r="H27" s="13" t="s">
        <v>111</v>
      </c>
      <c r="I27" s="18">
        <f>2500/(1-35%)*(70%-35%)</f>
        <v>1346.1538461538462</v>
      </c>
      <c r="J27" s="18"/>
    </row>
    <row r="28" spans="2:11" ht="15" customHeight="1">
      <c r="B28" s="13"/>
      <c r="C28" s="6" t="s">
        <v>112</v>
      </c>
      <c r="D28" s="18"/>
      <c r="E28" s="18"/>
      <c r="F28" s="18"/>
      <c r="G28" s="18"/>
      <c r="H28" s="13" t="s">
        <v>111</v>
      </c>
      <c r="I28" s="18">
        <f xml:space="preserve"> 2500 / (1-35%) * (80% - 70%)</f>
        <v>384.61538461538498</v>
      </c>
      <c r="J28" s="18"/>
    </row>
    <row r="30" spans="2:11" ht="15" customHeight="1">
      <c r="B30" s="1" t="s">
        <v>113</v>
      </c>
    </row>
    <row r="31" spans="2:11" ht="15" customHeight="1">
      <c r="D31" s="183" t="s">
        <v>107</v>
      </c>
      <c r="E31" s="183"/>
      <c r="F31" s="183"/>
      <c r="G31" s="183"/>
      <c r="H31" s="183"/>
      <c r="I31" s="183"/>
      <c r="J31" s="183"/>
      <c r="K31" s="129"/>
    </row>
    <row r="32" spans="2:11" ht="15" customHeight="1">
      <c r="B32" s="8" t="s">
        <v>101</v>
      </c>
      <c r="C32" s="12" t="s">
        <v>114</v>
      </c>
      <c r="D32" s="9">
        <f>B37+1</f>
        <v>2024</v>
      </c>
      <c r="E32" s="9">
        <f>D32+1</f>
        <v>2025</v>
      </c>
      <c r="F32" s="9">
        <f t="shared" ref="F32" si="8">E32+1</f>
        <v>2026</v>
      </c>
      <c r="G32" s="9">
        <f t="shared" ref="G32" si="9">F32+1</f>
        <v>2027</v>
      </c>
      <c r="H32" s="9">
        <f t="shared" ref="H32" si="10">G32+1</f>
        <v>2028</v>
      </c>
      <c r="I32" s="9">
        <f t="shared" ref="I32" si="11">H32+1</f>
        <v>2029</v>
      </c>
      <c r="J32" s="9">
        <f t="shared" ref="J32" si="12">I32+1</f>
        <v>2030</v>
      </c>
      <c r="K32" s="9">
        <f>J32+1</f>
        <v>2031</v>
      </c>
    </row>
    <row r="33" spans="1:13" ht="15" customHeight="1">
      <c r="B33" s="9">
        <f>B21</f>
        <v>2019</v>
      </c>
      <c r="C33" s="18">
        <f>SUM(D33:J33)</f>
        <v>0</v>
      </c>
      <c r="D33" s="18">
        <f t="shared" ref="D33:F35" si="13">D21/(1+VLOOKUP(D$20-$B$15,$J$11:$K$16,2))^(D$20-$B$15-0.5)</f>
        <v>0</v>
      </c>
      <c r="E33" s="18">
        <f t="shared" si="13"/>
        <v>0</v>
      </c>
      <c r="F33" s="18">
        <f t="shared" si="13"/>
        <v>0</v>
      </c>
      <c r="G33" s="18"/>
      <c r="H33" s="18"/>
      <c r="I33" s="18"/>
      <c r="J33" s="18"/>
    </row>
    <row r="34" spans="1:13" ht="15" customHeight="1">
      <c r="B34" s="9">
        <f t="shared" ref="B34:B37" si="14">B22</f>
        <v>2020</v>
      </c>
      <c r="C34" s="18">
        <f t="shared" ref="C34:C39" si="15">SUM(D34:J34)</f>
        <v>1949.6729126801019</v>
      </c>
      <c r="D34" s="18">
        <f t="shared" si="13"/>
        <v>1313.7723708857236</v>
      </c>
      <c r="E34" s="18">
        <f t="shared" si="13"/>
        <v>635.90054179437846</v>
      </c>
      <c r="F34" s="18">
        <f t="shared" si="13"/>
        <v>0</v>
      </c>
      <c r="G34" s="18">
        <f>G22/(1+VLOOKUP(G$20-$B$15,$J$11:$K$16,2))^(G$20-$B$15-0.5)</f>
        <v>0</v>
      </c>
      <c r="H34" s="19"/>
      <c r="I34" s="19"/>
      <c r="J34" s="19"/>
    </row>
    <row r="35" spans="1:13" ht="15" customHeight="1">
      <c r="B35" s="9">
        <f t="shared" si="14"/>
        <v>2021</v>
      </c>
      <c r="C35" s="18">
        <f t="shared" si="15"/>
        <v>953.21050454142744</v>
      </c>
      <c r="D35" s="18">
        <f t="shared" si="13"/>
        <v>246.33231954107302</v>
      </c>
      <c r="E35" s="18">
        <f t="shared" si="13"/>
        <v>476.92540634578347</v>
      </c>
      <c r="F35" s="18">
        <f t="shared" si="13"/>
        <v>229.95277865457095</v>
      </c>
      <c r="G35" s="18">
        <f>G23/(1+VLOOKUP(G$20-$B$15,$J$11:$K$16,2))^(G$20-$B$15-0.5)</f>
        <v>0</v>
      </c>
      <c r="H35" s="18">
        <f>H23/(1+VLOOKUP(H$20-$B$15,$J$11:$K$16,2))^(H$20-$B$15-0.5)</f>
        <v>0</v>
      </c>
      <c r="I35" s="18"/>
      <c r="J35" s="18"/>
    </row>
    <row r="36" spans="1:13" ht="15" customHeight="1">
      <c r="B36" s="9">
        <f t="shared" si="14"/>
        <v>2022</v>
      </c>
      <c r="C36" s="18">
        <f t="shared" si="15"/>
        <v>1411.9253457981838</v>
      </c>
      <c r="D36" s="18">
        <f>D24/(1+VLOOKUP(D$20-$B$15,$J$11:$K$16,2))^(D$20-$B$15-0.5)</f>
        <v>492.66463908214689</v>
      </c>
      <c r="E36" s="18">
        <f>E24/(1+VLOOKUP(E20-$B$15,$J$11:$K$16,2))^(E20-$B$15-0.5)</f>
        <v>238.46270317289139</v>
      </c>
      <c r="F36" s="18">
        <f>F24/(1+VLOOKUP(F20-$B$15,$J$11:$K$16,2))^(F20-$B$15-0.5)</f>
        <v>459.90555730914122</v>
      </c>
      <c r="G36" s="18">
        <f>G24/(1+VLOOKUP(G20-$B$15,$J$11:$K$16,2))^(G20-$B$15-0.5)</f>
        <v>220.89244623400441</v>
      </c>
      <c r="H36" s="18">
        <f>H24/(1+VLOOKUP(H20-$B$15,$J$11:$K$16,2))^(H20-$B$15-0.5)</f>
        <v>0</v>
      </c>
      <c r="I36" s="18">
        <f>I24/(1+VLOOKUP(I20-$B$15,$J$11:$K$16,2))^(I20-$B$15-0.5)</f>
        <v>0</v>
      </c>
      <c r="J36" s="18"/>
    </row>
    <row r="37" spans="1:13" ht="15" customHeight="1">
      <c r="B37" s="117">
        <f t="shared" si="14"/>
        <v>2023</v>
      </c>
      <c r="C37" s="118">
        <f t="shared" si="15"/>
        <v>2372.5872965529816</v>
      </c>
      <c r="D37" s="118">
        <f t="shared" ref="D37:J37" si="16">D25/(1+VLOOKUP(D20-$B$15,$J$11:$K$16,2))^(D20-$B$15-0.5)</f>
        <v>1326.4047975288561</v>
      </c>
      <c r="E37" s="118">
        <f t="shared" si="16"/>
        <v>366.86569718906458</v>
      </c>
      <c r="F37" s="118">
        <f t="shared" si="16"/>
        <v>176.88675281120803</v>
      </c>
      <c r="G37" s="118">
        <f t="shared" si="16"/>
        <v>339.8345326676988</v>
      </c>
      <c r="H37" s="118">
        <f t="shared" si="16"/>
        <v>162.59551635615372</v>
      </c>
      <c r="I37" s="118">
        <f t="shared" si="16"/>
        <v>0</v>
      </c>
      <c r="J37" s="118">
        <f t="shared" si="16"/>
        <v>0</v>
      </c>
    </row>
    <row r="38" spans="1:13" ht="15" customHeight="1">
      <c r="B38" s="13" t="s">
        <v>92</v>
      </c>
      <c r="C38" s="18">
        <f t="shared" si="15"/>
        <v>6687.3960595726949</v>
      </c>
      <c r="D38" s="18">
        <f t="shared" ref="D38:J38" si="17">SUM(D33:D37)</f>
        <v>3379.1741270377997</v>
      </c>
      <c r="E38" s="18">
        <f t="shared" si="17"/>
        <v>1718.154348502118</v>
      </c>
      <c r="F38" s="18">
        <f t="shared" si="17"/>
        <v>866.74508877492019</v>
      </c>
      <c r="G38" s="18">
        <f t="shared" si="17"/>
        <v>560.72697890170321</v>
      </c>
      <c r="H38" s="18">
        <f t="shared" si="17"/>
        <v>162.59551635615372</v>
      </c>
      <c r="I38" s="18">
        <f t="shared" si="17"/>
        <v>0</v>
      </c>
      <c r="J38" s="18">
        <f t="shared" si="17"/>
        <v>0</v>
      </c>
    </row>
    <row r="39" spans="1:13" ht="15" customHeight="1">
      <c r="B39" s="13" t="s">
        <v>115</v>
      </c>
      <c r="C39" s="18">
        <f t="shared" si="15"/>
        <v>668.73960595726942</v>
      </c>
      <c r="D39" s="18">
        <f>D38*$F$5</f>
        <v>337.91741270377997</v>
      </c>
      <c r="E39" s="18">
        <f t="shared" ref="E39:J39" si="18">E38*$F$5</f>
        <v>171.8154348502118</v>
      </c>
      <c r="F39" s="18">
        <f t="shared" si="18"/>
        <v>86.67450887749203</v>
      </c>
      <c r="G39" s="18">
        <f t="shared" si="18"/>
        <v>56.072697890170325</v>
      </c>
      <c r="H39" s="18">
        <f t="shared" si="18"/>
        <v>16.259551635615374</v>
      </c>
      <c r="I39" s="18">
        <f t="shared" si="18"/>
        <v>0</v>
      </c>
      <c r="J39" s="18">
        <f t="shared" si="18"/>
        <v>0</v>
      </c>
    </row>
    <row r="40" spans="1:13" ht="15" customHeight="1">
      <c r="B40" s="119" t="s">
        <v>116</v>
      </c>
      <c r="C40" s="118">
        <v>100</v>
      </c>
      <c r="D40" s="140">
        <v>100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</row>
    <row r="41" spans="1:13" ht="15" customHeight="1">
      <c r="A41" s="13"/>
      <c r="B41" s="13" t="s">
        <v>117</v>
      </c>
      <c r="C41" s="18">
        <f>SUM(C38:C40)</f>
        <v>7456.1356655299642</v>
      </c>
      <c r="D41" s="20"/>
      <c r="E41" s="20"/>
      <c r="F41" s="20"/>
      <c r="G41" s="20"/>
      <c r="H41" s="20"/>
      <c r="I41" s="21"/>
      <c r="J41" s="20"/>
    </row>
    <row r="42" spans="1:13" ht="15" customHeight="1">
      <c r="C42" s="18"/>
      <c r="D42" s="18"/>
      <c r="E42" s="18"/>
      <c r="F42" s="18"/>
      <c r="G42" s="18"/>
      <c r="H42" s="18"/>
      <c r="I42" s="18"/>
      <c r="J42" s="18"/>
    </row>
    <row r="43" spans="1:13" ht="15" customHeight="1">
      <c r="A43" s="25" t="s">
        <v>118</v>
      </c>
      <c r="C43" s="18"/>
      <c r="D43" s="18"/>
      <c r="E43" s="18"/>
      <c r="F43" s="18"/>
      <c r="G43" s="18"/>
      <c r="H43" s="18"/>
      <c r="I43" s="18"/>
      <c r="J43" s="18"/>
    </row>
    <row r="44" spans="1:13" ht="15" customHeight="1">
      <c r="C44" s="18"/>
      <c r="D44" s="18"/>
      <c r="E44" s="18"/>
      <c r="F44" s="18"/>
      <c r="G44" s="18"/>
      <c r="H44" s="18"/>
      <c r="I44" s="18"/>
      <c r="J44" s="18"/>
    </row>
    <row r="45" spans="1:13" ht="15" customHeight="1">
      <c r="A45" s="13" t="s">
        <v>119</v>
      </c>
      <c r="B45" s="13" t="str">
        <f>B41</f>
        <v>LIC</v>
      </c>
      <c r="C45" s="18">
        <f>C41</f>
        <v>7456.1356655299642</v>
      </c>
      <c r="D45" s="18"/>
      <c r="E45" s="18"/>
      <c r="F45" s="18"/>
      <c r="G45" s="18"/>
      <c r="H45" s="18"/>
      <c r="I45" s="18"/>
      <c r="J45" s="18"/>
    </row>
    <row r="46" spans="1:13" ht="15" customHeight="1">
      <c r="C46" s="18"/>
      <c r="D46" s="18"/>
      <c r="E46" s="18"/>
      <c r="F46" s="18"/>
      <c r="G46" s="18"/>
      <c r="H46" s="18"/>
      <c r="I46" s="18"/>
      <c r="J46" s="18"/>
    </row>
    <row r="47" spans="1:13" ht="15" customHeight="1">
      <c r="A47" s="13" t="s">
        <v>120</v>
      </c>
      <c r="B47" s="13" t="s">
        <v>121</v>
      </c>
      <c r="C47" s="18">
        <f>SUM(D47:J47)</f>
        <v>6678.5772397581522</v>
      </c>
      <c r="D47" s="18">
        <f>D26/(1+VLOOKUP(D$20-$B$15,$J$11:$K$16,2)+$M$47)^(D$20-$B$15-0.5)</f>
        <v>3377.5349447308049</v>
      </c>
      <c r="E47" s="18">
        <f t="shared" ref="E47:J47" si="19">E26/(1+VLOOKUP(E$20-$B$15,$J$11:$K$16,2)+$M$47)^(E$20-$B$15-0.5)</f>
        <v>1715.6600525707279</v>
      </c>
      <c r="F47" s="18">
        <f t="shared" si="19"/>
        <v>864.65301845179158</v>
      </c>
      <c r="G47" s="18">
        <f t="shared" si="19"/>
        <v>558.83673790342823</v>
      </c>
      <c r="H47" s="18">
        <f t="shared" si="19"/>
        <v>161.89248610140001</v>
      </c>
      <c r="I47" s="18">
        <f t="shared" si="19"/>
        <v>0</v>
      </c>
      <c r="J47" s="18">
        <f t="shared" si="19"/>
        <v>0</v>
      </c>
      <c r="M47" s="143">
        <v>1E-3</v>
      </c>
    </row>
    <row r="48" spans="1:13" ht="15" customHeight="1">
      <c r="B48" s="13" t="s">
        <v>115</v>
      </c>
      <c r="C48" s="18">
        <f t="shared" ref="C48:C49" si="20">SUM(D48:J48)</f>
        <v>667.85772397581536</v>
      </c>
      <c r="D48" s="18">
        <f>D47*$F$5</f>
        <v>337.75349447308054</v>
      </c>
      <c r="E48" s="18">
        <f t="shared" ref="E48:J48" si="21">E47*$F$5</f>
        <v>171.56600525707279</v>
      </c>
      <c r="F48" s="18">
        <f>F47*$F$5</f>
        <v>86.46530184517917</v>
      </c>
      <c r="G48" s="18">
        <f t="shared" si="21"/>
        <v>55.883673790342826</v>
      </c>
      <c r="H48" s="18">
        <f t="shared" si="21"/>
        <v>16.189248610140002</v>
      </c>
      <c r="I48" s="18">
        <f t="shared" si="21"/>
        <v>0</v>
      </c>
      <c r="J48" s="18">
        <f t="shared" si="21"/>
        <v>0</v>
      </c>
    </row>
    <row r="49" spans="1:13" ht="15" customHeight="1">
      <c r="B49" s="119" t="s">
        <v>116</v>
      </c>
      <c r="C49" s="118">
        <f t="shared" si="20"/>
        <v>100</v>
      </c>
      <c r="D49" s="118">
        <f t="shared" ref="D49:J49" si="22">D40</f>
        <v>100</v>
      </c>
      <c r="E49" s="118">
        <f t="shared" si="22"/>
        <v>0</v>
      </c>
      <c r="F49" s="118">
        <f t="shared" si="22"/>
        <v>0</v>
      </c>
      <c r="G49" s="118">
        <f t="shared" si="22"/>
        <v>0</v>
      </c>
      <c r="H49" s="118">
        <f t="shared" si="22"/>
        <v>0</v>
      </c>
      <c r="I49" s="118">
        <f t="shared" si="22"/>
        <v>0</v>
      </c>
      <c r="J49" s="118">
        <f t="shared" si="22"/>
        <v>0</v>
      </c>
    </row>
    <row r="50" spans="1:13" ht="15" customHeight="1">
      <c r="B50" s="13" t="s">
        <v>122</v>
      </c>
      <c r="C50" s="18">
        <f>SUM(C47:C49)</f>
        <v>7446.4349637339674</v>
      </c>
      <c r="D50" s="18"/>
      <c r="E50" s="18"/>
      <c r="F50" s="18"/>
      <c r="G50" s="18"/>
      <c r="H50" s="18"/>
      <c r="I50" s="151"/>
      <c r="J50" s="18"/>
    </row>
    <row r="52" spans="1:13" ht="15" customHeight="1">
      <c r="A52" s="13" t="s">
        <v>218</v>
      </c>
      <c r="B52" s="13" t="s">
        <v>121</v>
      </c>
      <c r="C52" s="18">
        <f>SUM(D52:J52)</f>
        <v>6696.2423748424317</v>
      </c>
      <c r="D52" s="18">
        <f>D26/(1+VLOOKUP(D$20-$B$15,$J$11:$K$16,2)-$M$47)^(D$20-$B$15-0.5)</f>
        <v>3380.8156982432183</v>
      </c>
      <c r="E52" s="18">
        <f t="shared" ref="E52:J52" si="23">E26/(1+VLOOKUP(E$20-$B$15,$J$11:$K$16,2)-$M$47)^(E$20-$B$15-0.5)</f>
        <v>1720.6546941438874</v>
      </c>
      <c r="F52" s="18">
        <f t="shared" si="23"/>
        <v>868.8442525756675</v>
      </c>
      <c r="G52" s="18">
        <f t="shared" si="23"/>
        <v>562.62544826795056</v>
      </c>
      <c r="H52" s="18">
        <f t="shared" si="23"/>
        <v>163.30228161170862</v>
      </c>
      <c r="I52" s="18">
        <f t="shared" si="23"/>
        <v>0</v>
      </c>
      <c r="J52" s="18">
        <f t="shared" si="23"/>
        <v>0</v>
      </c>
      <c r="M52" s="60"/>
    </row>
    <row r="53" spans="1:13" ht="12.75">
      <c r="B53" s="13" t="s">
        <v>115</v>
      </c>
      <c r="C53" s="18">
        <f t="shared" ref="C53:C54" si="24">SUM(D53:J53)</f>
        <v>669.62423748424328</v>
      </c>
      <c r="D53" s="18">
        <f>D52*$F$5</f>
        <v>338.08156982432183</v>
      </c>
      <c r="E53" s="18">
        <f t="shared" ref="E53:J53" si="25">E52*$F$5</f>
        <v>172.06546941438876</v>
      </c>
      <c r="F53" s="18">
        <f t="shared" si="25"/>
        <v>86.884425257566761</v>
      </c>
      <c r="G53" s="18">
        <f t="shared" si="25"/>
        <v>56.262544826795057</v>
      </c>
      <c r="H53" s="18">
        <f t="shared" si="25"/>
        <v>16.330228161170862</v>
      </c>
      <c r="I53" s="18">
        <f t="shared" si="25"/>
        <v>0</v>
      </c>
      <c r="J53" s="18">
        <f t="shared" si="25"/>
        <v>0</v>
      </c>
    </row>
    <row r="54" spans="1:13" ht="15" customHeight="1">
      <c r="B54" s="119" t="s">
        <v>116</v>
      </c>
      <c r="C54" s="118">
        <f t="shared" si="24"/>
        <v>100</v>
      </c>
      <c r="D54" s="118">
        <f>D49</f>
        <v>100</v>
      </c>
      <c r="E54" s="118">
        <f t="shared" ref="E54:J54" si="26">E49</f>
        <v>0</v>
      </c>
      <c r="F54" s="118">
        <f t="shared" si="26"/>
        <v>0</v>
      </c>
      <c r="G54" s="118">
        <f t="shared" si="26"/>
        <v>0</v>
      </c>
      <c r="H54" s="118">
        <f t="shared" si="26"/>
        <v>0</v>
      </c>
      <c r="I54" s="118">
        <f t="shared" si="26"/>
        <v>0</v>
      </c>
      <c r="J54" s="118">
        <f t="shared" si="26"/>
        <v>0</v>
      </c>
      <c r="K54" s="3"/>
      <c r="L54" s="4"/>
    </row>
    <row r="55" spans="1:13" ht="15" customHeight="1">
      <c r="B55" s="13" t="s">
        <v>124</v>
      </c>
      <c r="C55" s="18">
        <f>SUM(C52:C54)</f>
        <v>7465.8666123266748</v>
      </c>
      <c r="D55" s="18"/>
      <c r="E55" s="18"/>
      <c r="F55" s="18"/>
      <c r="G55" s="18"/>
      <c r="H55" s="18"/>
      <c r="I55" s="151"/>
      <c r="J55" s="18"/>
      <c r="K55" s="4"/>
    </row>
    <row r="56" spans="1:13" ht="15" customHeight="1">
      <c r="J56" s="3"/>
      <c r="K56" s="4"/>
    </row>
    <row r="57" spans="1:13" ht="15" customHeight="1">
      <c r="B57" s="10" t="s">
        <v>125</v>
      </c>
      <c r="C57" s="23">
        <f>(C55-C50)/(C45*2*$M$47)</f>
        <v>1.3030643126935584</v>
      </c>
      <c r="D57" s="14" t="s">
        <v>126</v>
      </c>
      <c r="J57" s="3"/>
      <c r="K57" s="4"/>
    </row>
    <row r="58" spans="1:13" ht="15" customHeight="1">
      <c r="B58" s="10"/>
      <c r="C58" s="24"/>
      <c r="D58" s="14"/>
      <c r="J58" s="3"/>
      <c r="K58" s="4"/>
    </row>
    <row r="59" spans="1:13" ht="15" customHeight="1">
      <c r="B59" s="10"/>
      <c r="C59" s="22"/>
      <c r="D59" s="14"/>
      <c r="J59" s="3"/>
      <c r="K59" s="4"/>
    </row>
    <row r="60" spans="1:13" ht="15" customHeight="1">
      <c r="A60" s="25" t="s">
        <v>127</v>
      </c>
      <c r="B60" s="10"/>
      <c r="C60" s="22"/>
      <c r="D60" s="14"/>
      <c r="J60" s="3"/>
      <c r="K60" s="4"/>
    </row>
    <row r="61" spans="1:13" ht="15" customHeight="1">
      <c r="B61" s="10"/>
      <c r="C61" s="22"/>
      <c r="D61" s="179" t="s">
        <v>165</v>
      </c>
      <c r="J61" s="3"/>
      <c r="K61" s="4"/>
    </row>
    <row r="62" spans="1:13" ht="15" customHeight="1">
      <c r="B62" s="145"/>
      <c r="C62" s="13" t="s">
        <v>92</v>
      </c>
      <c r="D62" s="142">
        <f>1/365</f>
        <v>2.7397260273972603E-3</v>
      </c>
      <c r="E62" s="13">
        <v>0.5</v>
      </c>
      <c r="F62" s="13">
        <f>E62+1</f>
        <v>1.5</v>
      </c>
      <c r="G62" s="13">
        <f t="shared" ref="G62:K62" si="27">F62+1</f>
        <v>2.5</v>
      </c>
      <c r="H62" s="13">
        <f t="shared" si="27"/>
        <v>3.5</v>
      </c>
      <c r="I62" s="13">
        <f t="shared" si="27"/>
        <v>4.5</v>
      </c>
      <c r="J62" s="13">
        <f t="shared" si="27"/>
        <v>5.5</v>
      </c>
      <c r="K62" s="13">
        <f t="shared" si="27"/>
        <v>6.5</v>
      </c>
    </row>
    <row r="63" spans="1:13" ht="15" customHeight="1">
      <c r="B63" s="145" t="s">
        <v>128</v>
      </c>
      <c r="C63" s="18">
        <f>SUM(D63:K63)</f>
        <v>7800</v>
      </c>
      <c r="D63" s="107">
        <f>D40</f>
        <v>100</v>
      </c>
      <c r="E63" s="18">
        <f t="shared" ref="E63:K63" si="28">D26+D26*$F$5</f>
        <v>3772.435897435897</v>
      </c>
      <c r="F63" s="18">
        <f t="shared" si="28"/>
        <v>1981.4102564102568</v>
      </c>
      <c r="G63" s="18">
        <f t="shared" si="28"/>
        <v>1036.5384615384612</v>
      </c>
      <c r="H63" s="18">
        <f t="shared" si="28"/>
        <v>698.07692307692321</v>
      </c>
      <c r="I63" s="18">
        <f t="shared" si="28"/>
        <v>211.53846153846175</v>
      </c>
      <c r="J63" s="18">
        <f t="shared" si="28"/>
        <v>0</v>
      </c>
      <c r="K63" s="18">
        <f t="shared" si="28"/>
        <v>0</v>
      </c>
    </row>
    <row r="64" spans="1:13" ht="15" customHeight="1">
      <c r="B64" s="145" t="s">
        <v>129</v>
      </c>
      <c r="C64" s="18">
        <f>SUM(D64:K64)</f>
        <v>7456.1356655299651</v>
      </c>
      <c r="D64" s="107">
        <f>D40</f>
        <v>100</v>
      </c>
      <c r="E64" s="18">
        <f t="shared" ref="E64:K64" si="29">SUM(D38:D39)</f>
        <v>3717.0915397415797</v>
      </c>
      <c r="F64" s="18">
        <f t="shared" si="29"/>
        <v>1889.9697833523298</v>
      </c>
      <c r="G64" s="18">
        <f t="shared" si="29"/>
        <v>953.41959765241222</v>
      </c>
      <c r="H64" s="18">
        <f t="shared" si="29"/>
        <v>616.79967679187348</v>
      </c>
      <c r="I64" s="18">
        <f t="shared" si="29"/>
        <v>178.85506799176909</v>
      </c>
      <c r="J64" s="18">
        <f t="shared" si="29"/>
        <v>0</v>
      </c>
      <c r="K64" s="18">
        <f t="shared" si="29"/>
        <v>0</v>
      </c>
    </row>
    <row r="65" spans="2:14" ht="15" customHeight="1">
      <c r="B65" s="145" t="s">
        <v>100</v>
      </c>
      <c r="C65" s="113"/>
      <c r="D65" s="108">
        <f>E65</f>
        <v>0.03</v>
      </c>
      <c r="E65" s="19">
        <f>(VLOOKUP(D$20-$B$15,$J$11:$K$17,2))</f>
        <v>0.03</v>
      </c>
      <c r="F65" s="19">
        <f t="shared" ref="F65:K65" si="30">(VLOOKUP(E$20-$B$15,$J$11:$K$17,2))</f>
        <v>3.2000000000000001E-2</v>
      </c>
      <c r="G65" s="19">
        <f t="shared" si="30"/>
        <v>3.4000000000000002E-2</v>
      </c>
      <c r="H65" s="19">
        <f t="shared" si="30"/>
        <v>3.6000000000000004E-2</v>
      </c>
      <c r="I65" s="19">
        <f t="shared" si="30"/>
        <v>3.8000000000000006E-2</v>
      </c>
      <c r="J65" s="19">
        <f t="shared" si="30"/>
        <v>4.0000000000000008E-2</v>
      </c>
      <c r="K65" s="19">
        <f t="shared" si="30"/>
        <v>4.0000000000000008E-2</v>
      </c>
      <c r="N65" s="18"/>
    </row>
    <row r="66" spans="2:14" ht="15" customHeight="1">
      <c r="B66" s="10"/>
      <c r="D66" s="13"/>
      <c r="E66" s="13"/>
      <c r="F66" s="13"/>
      <c r="G66" s="13"/>
      <c r="H66" s="13"/>
      <c r="I66" s="13"/>
      <c r="J66" s="13"/>
      <c r="K66" s="13"/>
    </row>
    <row r="67" spans="2:14" ht="15" customHeight="1">
      <c r="B67" s="149" t="s">
        <v>130</v>
      </c>
      <c r="C67" s="137"/>
      <c r="D67" s="13"/>
      <c r="E67" s="13"/>
      <c r="F67" s="13"/>
      <c r="G67" s="13"/>
      <c r="H67" s="13"/>
      <c r="I67" s="13"/>
      <c r="J67" s="13"/>
      <c r="K67" s="13"/>
    </row>
    <row r="68" spans="2:14" ht="15" customHeight="1">
      <c r="B68" s="10" t="s">
        <v>131</v>
      </c>
      <c r="C68" s="137">
        <f>XIRR(C78:K78,C77:K77)</f>
        <v>3.3482858538627633E-2</v>
      </c>
      <c r="D68" s="13"/>
      <c r="E68" s="13"/>
      <c r="F68" s="13"/>
      <c r="G68" s="13"/>
      <c r="H68" s="13"/>
      <c r="I68" s="13"/>
      <c r="J68" s="13"/>
      <c r="K68" s="13"/>
    </row>
    <row r="69" spans="2:14" ht="15" customHeight="1">
      <c r="B69" s="10" t="s">
        <v>132</v>
      </c>
      <c r="C69" s="137">
        <f>SUMPRODUCT($D$65:$K$65,$D$62:$K$62,D63:K63)/SUMPRODUCT($D$62:$K$62,D63:K63)</f>
        <v>3.3557777480532694E-2</v>
      </c>
      <c r="D69" s="13"/>
      <c r="E69" s="13"/>
      <c r="F69" s="13"/>
      <c r="G69" s="13"/>
      <c r="H69" s="13"/>
      <c r="I69" s="13"/>
      <c r="J69" s="13"/>
      <c r="K69" s="13"/>
    </row>
    <row r="70" spans="2:14" ht="15" customHeight="1">
      <c r="B70" s="10" t="s">
        <v>133</v>
      </c>
      <c r="C70" s="137">
        <f>SUMPRODUCT($D$65:$K$65,$D$62:$K$62,D64:K64)/SUMPRODUCT($D$62:$K$62,D64:K64)</f>
        <v>3.3445452051877336E-2</v>
      </c>
      <c r="D70" s="13"/>
      <c r="E70" s="13"/>
      <c r="F70" s="13"/>
      <c r="G70" s="13"/>
      <c r="H70" s="13"/>
      <c r="I70" s="13"/>
      <c r="J70" s="13"/>
      <c r="K70" s="4"/>
    </row>
    <row r="71" spans="2:14" ht="15" customHeight="1">
      <c r="B71" s="10" t="s">
        <v>134</v>
      </c>
      <c r="C71" s="150">
        <f>C68</f>
        <v>3.3482858538627633E-2</v>
      </c>
      <c r="D71" s="13"/>
      <c r="E71" s="13"/>
      <c r="F71" s="13"/>
      <c r="G71" s="13"/>
      <c r="H71" s="13"/>
      <c r="I71" s="13"/>
      <c r="J71" s="13"/>
      <c r="K71" s="4"/>
    </row>
    <row r="72" spans="2:14" ht="15" customHeight="1">
      <c r="B72" s="10"/>
      <c r="C72" s="138"/>
      <c r="D72" s="13"/>
      <c r="E72" s="13"/>
      <c r="F72" s="13"/>
      <c r="G72" s="13"/>
      <c r="H72" s="13"/>
      <c r="I72" s="13"/>
      <c r="J72" s="13"/>
      <c r="K72" s="4"/>
    </row>
    <row r="73" spans="2:14" ht="15" customHeight="1">
      <c r="B73" s="10" t="s">
        <v>224</v>
      </c>
      <c r="C73" s="23">
        <f>SUMPRODUCT(D64:K64,D62:K62)/SUM(C64)</f>
        <v>1.3466721284039143</v>
      </c>
      <c r="D73" s="13"/>
      <c r="E73" s="13"/>
      <c r="F73" s="13"/>
      <c r="G73" s="13"/>
      <c r="H73" s="13"/>
      <c r="I73" s="13"/>
      <c r="J73" s="13"/>
      <c r="K73" s="4"/>
    </row>
    <row r="74" spans="2:14" ht="15" customHeight="1">
      <c r="B74" s="10" t="s">
        <v>135</v>
      </c>
      <c r="C74" s="23">
        <f>C73/(1+C71)</f>
        <v>1.3030425393877791</v>
      </c>
    </row>
    <row r="75" spans="2:14" ht="15" customHeight="1">
      <c r="B75" s="10" t="s">
        <v>234</v>
      </c>
      <c r="C75" s="23" cm="1">
        <f t="array" ref="C75">SUMPRODUCT(D64:K64,D62:K62,1/(1+D65:K65))/C64</f>
        <v>1.303096931739</v>
      </c>
      <c r="D75" s="11"/>
      <c r="E75" s="11"/>
      <c r="F75" s="11"/>
      <c r="G75" s="11"/>
      <c r="H75" s="11"/>
      <c r="I75" s="11"/>
      <c r="J75" s="11"/>
      <c r="K75" s="11"/>
      <c r="L75" s="11"/>
    </row>
    <row r="77" spans="2:14" ht="15" customHeight="1">
      <c r="C77" s="141">
        <v>44926</v>
      </c>
      <c r="D77" s="139">
        <f>$C$77+D62*365</f>
        <v>44927</v>
      </c>
      <c r="E77" s="139">
        <f t="shared" ref="E77:K77" si="31">$C$77+E62*365</f>
        <v>45108.5</v>
      </c>
      <c r="F77" s="139">
        <f t="shared" si="31"/>
        <v>45473.5</v>
      </c>
      <c r="G77" s="139">
        <f t="shared" si="31"/>
        <v>45838.5</v>
      </c>
      <c r="H77" s="139">
        <f t="shared" si="31"/>
        <v>46203.5</v>
      </c>
      <c r="I77" s="139">
        <f t="shared" si="31"/>
        <v>46568.5</v>
      </c>
      <c r="J77" s="139">
        <f t="shared" si="31"/>
        <v>46933.5</v>
      </c>
      <c r="K77" s="139">
        <f t="shared" si="31"/>
        <v>47298.5</v>
      </c>
    </row>
    <row r="78" spans="2:14" ht="15" customHeight="1">
      <c r="C78" s="18">
        <f>-C64</f>
        <v>-7456.1356655299651</v>
      </c>
      <c r="D78" s="18">
        <f t="shared" ref="D78" si="32">D63</f>
        <v>100</v>
      </c>
      <c r="E78" s="18">
        <f t="shared" ref="E78:K78" si="33">E63</f>
        <v>3772.435897435897</v>
      </c>
      <c r="F78" s="18">
        <f t="shared" si="33"/>
        <v>1981.4102564102568</v>
      </c>
      <c r="G78" s="18">
        <f t="shared" si="33"/>
        <v>1036.5384615384612</v>
      </c>
      <c r="H78" s="18">
        <f t="shared" si="33"/>
        <v>698.07692307692321</v>
      </c>
      <c r="I78" s="18">
        <f t="shared" si="33"/>
        <v>211.53846153846175</v>
      </c>
      <c r="J78" s="18">
        <f t="shared" si="33"/>
        <v>0</v>
      </c>
      <c r="K78" s="18">
        <f t="shared" si="33"/>
        <v>0</v>
      </c>
    </row>
  </sheetData>
  <mergeCells count="2">
    <mergeCell ref="D19:J19"/>
    <mergeCell ref="D31:J31"/>
  </mergeCells>
  <printOptions horizontalCentered="1"/>
  <pageMargins left="0.59055118110236227" right="0.39370078740157483" top="0.59055118110236227" bottom="0.74803149606299213" header="0.31496062992125984" footer="0.31496062992125984"/>
  <pageSetup scale="62" fitToHeight="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R78"/>
  <sheetViews>
    <sheetView view="pageBreakPreview" topLeftCell="A33" zoomScaleNormal="85" zoomScaleSheetLayoutView="100" workbookViewId="0">
      <selection activeCell="C58" sqref="C58"/>
    </sheetView>
  </sheetViews>
  <sheetFormatPr defaultColWidth="9.140625" defaultRowHeight="15" customHeight="1"/>
  <cols>
    <col min="1" max="1" width="6.7109375" style="2" customWidth="1"/>
    <col min="2" max="2" width="17.7109375" style="2" customWidth="1"/>
    <col min="3" max="5" width="11.7109375" style="2" customWidth="1"/>
    <col min="6" max="6" width="12.140625" style="2" customWidth="1"/>
    <col min="7" max="7" width="12.7109375" style="2" customWidth="1"/>
    <col min="8" max="8" width="12.140625" style="2" customWidth="1"/>
    <col min="9" max="9" width="11.7109375" style="2" customWidth="1"/>
    <col min="10" max="11" width="13.7109375" style="2" customWidth="1"/>
    <col min="12" max="12" width="3.140625" style="2" customWidth="1"/>
    <col min="13" max="21" width="11.7109375" style="2" customWidth="1"/>
    <col min="22" max="16384" width="9.140625" style="2"/>
  </cols>
  <sheetData>
    <row r="1" spans="1:12" ht="15" customHeight="1">
      <c r="A1" s="1" t="s">
        <v>136</v>
      </c>
      <c r="K1" s="3" t="s">
        <v>0</v>
      </c>
      <c r="L1" s="4" t="s">
        <v>93</v>
      </c>
    </row>
    <row r="2" spans="1:12" ht="15" customHeight="1">
      <c r="K2" s="3" t="s">
        <v>2</v>
      </c>
      <c r="L2" s="4">
        <v>2</v>
      </c>
    </row>
    <row r="3" spans="1:12" ht="15" customHeight="1">
      <c r="B3" s="5" t="s">
        <v>94</v>
      </c>
      <c r="I3" s="6"/>
      <c r="J3" s="6"/>
    </row>
    <row r="4" spans="1:12" ht="15" customHeight="1">
      <c r="B4" s="2" t="s">
        <v>137</v>
      </c>
      <c r="I4" s="6"/>
      <c r="J4" s="6"/>
    </row>
    <row r="5" spans="1:12" ht="15" customHeight="1">
      <c r="B5" s="2" t="s">
        <v>96</v>
      </c>
      <c r="F5" s="102">
        <v>0.1</v>
      </c>
      <c r="I5" s="6"/>
      <c r="J5" s="6"/>
    </row>
    <row r="6" spans="1:12" ht="15" customHeight="1">
      <c r="B6" s="2" t="s">
        <v>138</v>
      </c>
      <c r="I6" s="6"/>
      <c r="J6" s="6"/>
    </row>
    <row r="8" spans="1:12" ht="15" customHeight="1">
      <c r="B8" s="7" t="s">
        <v>139</v>
      </c>
      <c r="F8" s="5" t="s">
        <v>99</v>
      </c>
      <c r="J8" s="5" t="s">
        <v>100</v>
      </c>
    </row>
    <row r="9" spans="1:12" ht="15" customHeight="1">
      <c r="B9" s="7"/>
      <c r="F9" s="5"/>
      <c r="J9" s="5"/>
    </row>
    <row r="10" spans="1:12" s="8" customFormat="1" ht="15" customHeight="1">
      <c r="B10" s="8" t="s">
        <v>101</v>
      </c>
      <c r="C10" s="8" t="s">
        <v>102</v>
      </c>
      <c r="F10" s="8" t="s">
        <v>103</v>
      </c>
      <c r="G10" s="8" t="s">
        <v>102</v>
      </c>
      <c r="J10" s="8" t="s">
        <v>104</v>
      </c>
      <c r="K10" s="8" t="s">
        <v>105</v>
      </c>
    </row>
    <row r="11" spans="1:12" ht="15" customHeight="1">
      <c r="B11" s="9">
        <f t="shared" ref="B11:B13" si="0">B12-1</f>
        <v>2019</v>
      </c>
      <c r="C11" s="16">
        <v>0</v>
      </c>
      <c r="D11" s="16"/>
      <c r="E11" s="13"/>
      <c r="F11" s="13">
        <v>12</v>
      </c>
      <c r="G11" s="15">
        <v>0</v>
      </c>
      <c r="H11" s="15"/>
      <c r="J11" s="13">
        <v>1</v>
      </c>
      <c r="K11" s="17">
        <f>'App B Sh1 - LIC'!K11</f>
        <v>0.03</v>
      </c>
    </row>
    <row r="12" spans="1:12" ht="15" customHeight="1">
      <c r="B12" s="9">
        <f t="shared" si="0"/>
        <v>2020</v>
      </c>
      <c r="C12" s="16">
        <v>750</v>
      </c>
      <c r="D12" s="16"/>
      <c r="E12" s="13"/>
      <c r="F12" s="13">
        <f>F11+12</f>
        <v>24</v>
      </c>
      <c r="G12" s="15">
        <v>0</v>
      </c>
      <c r="H12" s="15"/>
      <c r="J12" s="13">
        <f>J11+1</f>
        <v>2</v>
      </c>
      <c r="K12" s="17">
        <f>'App B Sh1 - LIC'!K12</f>
        <v>3.2000000000000001E-2</v>
      </c>
    </row>
    <row r="13" spans="1:12" ht="15" customHeight="1">
      <c r="B13" s="9">
        <f t="shared" si="0"/>
        <v>2021</v>
      </c>
      <c r="C13" s="16">
        <v>0</v>
      </c>
      <c r="D13" s="16"/>
      <c r="E13" s="13"/>
      <c r="F13" s="13">
        <f t="shared" ref="F13:F16" si="1">F12+12</f>
        <v>36</v>
      </c>
      <c r="G13" s="15">
        <v>0.4</v>
      </c>
      <c r="H13" s="15"/>
      <c r="J13" s="13">
        <f t="shared" ref="J13:J16" si="2">J12+1</f>
        <v>3</v>
      </c>
      <c r="K13" s="17">
        <f>'App B Sh1 - LIC'!K13</f>
        <v>3.4000000000000002E-2</v>
      </c>
    </row>
    <row r="14" spans="1:12" ht="15" customHeight="1">
      <c r="B14" s="9">
        <f>B15-1</f>
        <v>2022</v>
      </c>
      <c r="C14" s="16">
        <v>250</v>
      </c>
      <c r="D14" s="16"/>
      <c r="E14" s="13"/>
      <c r="F14" s="13">
        <f t="shared" si="1"/>
        <v>48</v>
      </c>
      <c r="G14" s="15">
        <v>0.6</v>
      </c>
      <c r="H14" s="15"/>
      <c r="J14" s="13">
        <f t="shared" si="2"/>
        <v>4</v>
      </c>
      <c r="K14" s="17">
        <f>'App B Sh1 - LIC'!K14</f>
        <v>3.6000000000000004E-2</v>
      </c>
    </row>
    <row r="15" spans="1:12" ht="15" customHeight="1">
      <c r="B15" s="9">
        <v>2023</v>
      </c>
      <c r="C15" s="16">
        <v>950</v>
      </c>
      <c r="D15" s="16"/>
      <c r="E15" s="13"/>
      <c r="F15" s="13">
        <f t="shared" si="1"/>
        <v>60</v>
      </c>
      <c r="G15" s="15">
        <v>0.8</v>
      </c>
      <c r="H15" s="15"/>
      <c r="J15" s="13">
        <f t="shared" si="2"/>
        <v>5</v>
      </c>
      <c r="K15" s="17">
        <f>'App B Sh1 - LIC'!K15</f>
        <v>3.8000000000000006E-2</v>
      </c>
    </row>
    <row r="16" spans="1:12" ht="15" customHeight="1">
      <c r="C16" s="13"/>
      <c r="D16" s="13"/>
      <c r="E16" s="13"/>
      <c r="F16" s="13">
        <f t="shared" si="1"/>
        <v>72</v>
      </c>
      <c r="G16" s="15">
        <v>1</v>
      </c>
      <c r="H16" s="15"/>
      <c r="J16" s="13">
        <f t="shared" si="2"/>
        <v>6</v>
      </c>
      <c r="K16" s="17">
        <f>'App B Sh1 - LIC'!K16</f>
        <v>4.0000000000000008E-2</v>
      </c>
    </row>
    <row r="17" spans="2:18" ht="15" customHeight="1">
      <c r="C17" s="13"/>
      <c r="D17" s="13"/>
      <c r="E17" s="13"/>
      <c r="F17" s="13"/>
      <c r="G17" s="13"/>
      <c r="H17" s="13"/>
      <c r="I17" s="13"/>
      <c r="J17" s="13"/>
      <c r="K17" s="13"/>
    </row>
    <row r="18" spans="2:18" ht="15" customHeight="1">
      <c r="B18" s="1" t="s">
        <v>140</v>
      </c>
    </row>
    <row r="19" spans="2:18" ht="15" customHeight="1">
      <c r="D19" s="183" t="s">
        <v>107</v>
      </c>
      <c r="E19" s="183"/>
      <c r="F19" s="183"/>
      <c r="G19" s="183"/>
      <c r="H19" s="183"/>
      <c r="I19" s="183"/>
      <c r="J19" s="183"/>
    </row>
    <row r="20" spans="2:18" ht="15" customHeight="1">
      <c r="B20" s="8" t="s">
        <v>101</v>
      </c>
      <c r="C20" s="12" t="s">
        <v>114</v>
      </c>
      <c r="D20" s="9">
        <f>B25+1</f>
        <v>2024</v>
      </c>
      <c r="E20" s="9">
        <f>D20+1</f>
        <v>2025</v>
      </c>
      <c r="F20" s="9">
        <f t="shared" ref="F20:J20" si="3">E20+1</f>
        <v>2026</v>
      </c>
      <c r="G20" s="9">
        <f t="shared" si="3"/>
        <v>2027</v>
      </c>
      <c r="H20" s="9">
        <f t="shared" si="3"/>
        <v>2028</v>
      </c>
      <c r="I20" s="9">
        <f t="shared" si="3"/>
        <v>2029</v>
      </c>
      <c r="J20" s="9">
        <f t="shared" si="3"/>
        <v>2030</v>
      </c>
    </row>
    <row r="21" spans="2:18" ht="15" customHeight="1">
      <c r="B21" s="9">
        <f t="shared" ref="B21:C25" si="4">B11</f>
        <v>2019</v>
      </c>
      <c r="C21" s="18">
        <f t="shared" si="4"/>
        <v>0</v>
      </c>
      <c r="D21" s="18">
        <v>0</v>
      </c>
      <c r="E21" s="18"/>
      <c r="F21" s="18"/>
      <c r="G21" s="18"/>
      <c r="H21" s="18"/>
      <c r="I21" s="18"/>
      <c r="J21" s="18"/>
      <c r="M21" s="125"/>
      <c r="N21" s="125"/>
      <c r="O21" s="125"/>
      <c r="P21" s="125"/>
      <c r="Q21" s="125"/>
      <c r="R21" s="125"/>
    </row>
    <row r="22" spans="2:18" ht="15" customHeight="1">
      <c r="B22" s="9">
        <f t="shared" si="4"/>
        <v>2020</v>
      </c>
      <c r="C22" s="18">
        <f t="shared" si="4"/>
        <v>750</v>
      </c>
      <c r="D22" s="18">
        <f>$C22/(1-$G$14)*($G$15-$G$14)</f>
        <v>375.00000000000011</v>
      </c>
      <c r="E22" s="18">
        <f>$C22/(1-$G$14)*($G$16-$G$15)</f>
        <v>374.99999999999994</v>
      </c>
      <c r="F22" s="18"/>
      <c r="G22" s="18"/>
      <c r="H22" s="18"/>
      <c r="I22" s="18"/>
      <c r="J22" s="18"/>
      <c r="M22" s="125"/>
      <c r="N22" s="125"/>
      <c r="O22" s="125"/>
      <c r="P22" s="125"/>
      <c r="Q22" s="125"/>
      <c r="R22" s="125"/>
    </row>
    <row r="23" spans="2:18" ht="15" customHeight="1">
      <c r="B23" s="9">
        <f t="shared" si="4"/>
        <v>2021</v>
      </c>
      <c r="C23" s="18">
        <f t="shared" si="4"/>
        <v>0</v>
      </c>
      <c r="D23" s="18">
        <f>$C23/(1-$G$13)*($G$14-$G$13)</f>
        <v>0</v>
      </c>
      <c r="E23" s="18">
        <f>$C23/(1-$G$13)*($G$15-$G$14)</f>
        <v>0</v>
      </c>
      <c r="F23" s="18">
        <f>$C23/(1-$G$13)*($G$16-$G$15)</f>
        <v>0</v>
      </c>
      <c r="G23" s="18"/>
      <c r="H23" s="18"/>
      <c r="I23" s="18"/>
      <c r="J23" s="18"/>
      <c r="M23" s="125"/>
      <c r="N23" s="125"/>
      <c r="O23" s="125"/>
      <c r="P23" s="125"/>
      <c r="Q23" s="125"/>
      <c r="R23" s="125"/>
    </row>
    <row r="24" spans="2:18" ht="15" customHeight="1">
      <c r="B24" s="9">
        <f t="shared" si="4"/>
        <v>2022</v>
      </c>
      <c r="C24" s="18">
        <f t="shared" si="4"/>
        <v>250</v>
      </c>
      <c r="D24" s="18">
        <f>$C24/(1-$G$12)*($G$13-$G$12)</f>
        <v>100</v>
      </c>
      <c r="E24" s="18">
        <f>$C24/(1-$G$12)*($G$14-$G$13)</f>
        <v>49.999999999999986</v>
      </c>
      <c r="F24" s="18">
        <f>$C24/(1-$G$12)*($G$15-$G$14)</f>
        <v>50.000000000000014</v>
      </c>
      <c r="G24" s="18">
        <f>$C24/(1-$G$12)*($G$16-$G$15)</f>
        <v>49.999999999999986</v>
      </c>
      <c r="H24" s="18"/>
      <c r="I24" s="18"/>
      <c r="J24" s="18"/>
      <c r="M24" s="125"/>
      <c r="N24" s="125"/>
      <c r="O24" s="125"/>
      <c r="P24" s="125"/>
      <c r="Q24" s="125"/>
      <c r="R24" s="125"/>
    </row>
    <row r="25" spans="2:18" ht="15" customHeight="1">
      <c r="B25" s="117">
        <f t="shared" si="4"/>
        <v>2023</v>
      </c>
      <c r="C25" s="118">
        <f t="shared" si="4"/>
        <v>950</v>
      </c>
      <c r="D25" s="118">
        <f>$C25/(1-$G$11)*($G$12-$G$11)</f>
        <v>0</v>
      </c>
      <c r="E25" s="118">
        <f>$C25/(1-$G$11)*($G$13-$G$12)</f>
        <v>380</v>
      </c>
      <c r="F25" s="118">
        <f>$C25/(1-$G$11)*($G$14-$G$13)</f>
        <v>189.99999999999997</v>
      </c>
      <c r="G25" s="118">
        <f>$C25/(1-$G$11)*($G$15-$G$14)</f>
        <v>190.00000000000006</v>
      </c>
      <c r="H25" s="118">
        <f>$C25/(1-$G$11)*($G$16-$G$15)</f>
        <v>189.99999999999997</v>
      </c>
      <c r="I25" s="118"/>
      <c r="J25" s="118"/>
      <c r="M25" s="125"/>
      <c r="N25" s="125"/>
      <c r="O25" s="125"/>
      <c r="P25" s="125"/>
      <c r="Q25" s="125"/>
      <c r="R25" s="125"/>
    </row>
    <row r="26" spans="2:18" ht="15" customHeight="1">
      <c r="B26" s="13" t="s">
        <v>92</v>
      </c>
      <c r="C26" s="18">
        <f>SUM(C21:C25)</f>
        <v>1950</v>
      </c>
      <c r="D26" s="18">
        <f t="shared" ref="D26:J26" si="5">SUM(D21:D25)</f>
        <v>475.00000000000011</v>
      </c>
      <c r="E26" s="18">
        <f t="shared" si="5"/>
        <v>805</v>
      </c>
      <c r="F26" s="18">
        <f t="shared" si="5"/>
        <v>240</v>
      </c>
      <c r="G26" s="18">
        <f t="shared" si="5"/>
        <v>240.00000000000006</v>
      </c>
      <c r="H26" s="18">
        <f t="shared" si="5"/>
        <v>189.99999999999997</v>
      </c>
      <c r="I26" s="18">
        <f t="shared" si="5"/>
        <v>0</v>
      </c>
      <c r="J26" s="18">
        <f t="shared" si="5"/>
        <v>0</v>
      </c>
      <c r="M26" s="125"/>
      <c r="N26" s="125"/>
      <c r="O26" s="125"/>
      <c r="P26" s="125"/>
      <c r="Q26" s="125"/>
      <c r="R26" s="125"/>
    </row>
    <row r="27" spans="2:18" ht="15" customHeight="1">
      <c r="B27" s="13" t="s">
        <v>109</v>
      </c>
      <c r="C27" s="6" t="s">
        <v>141</v>
      </c>
      <c r="D27" s="18"/>
      <c r="E27" s="18"/>
      <c r="F27" s="18"/>
      <c r="G27" s="18"/>
      <c r="H27" s="13"/>
      <c r="I27" s="18"/>
      <c r="J27" s="18"/>
    </row>
    <row r="28" spans="2:18" ht="15" customHeight="1">
      <c r="B28" s="13"/>
      <c r="C28" s="6" t="s">
        <v>142</v>
      </c>
      <c r="D28" s="18"/>
      <c r="E28" s="18"/>
      <c r="F28" s="18"/>
      <c r="G28" s="18"/>
      <c r="H28" s="13"/>
      <c r="I28" s="18"/>
      <c r="J28" s="18"/>
    </row>
    <row r="30" spans="2:18" ht="15" customHeight="1">
      <c r="B30" s="1" t="s">
        <v>113</v>
      </c>
    </row>
    <row r="31" spans="2:18" ht="15" customHeight="1">
      <c r="D31" s="183" t="s">
        <v>107</v>
      </c>
      <c r="E31" s="183"/>
      <c r="F31" s="183"/>
      <c r="G31" s="183"/>
      <c r="H31" s="183"/>
      <c r="I31" s="183"/>
      <c r="J31" s="183"/>
    </row>
    <row r="32" spans="2:18" ht="15" customHeight="1">
      <c r="B32" s="8" t="s">
        <v>101</v>
      </c>
      <c r="C32" s="12" t="s">
        <v>114</v>
      </c>
      <c r="D32" s="9">
        <f>B37+1</f>
        <v>2024</v>
      </c>
      <c r="E32" s="9">
        <f>D32+1</f>
        <v>2025</v>
      </c>
      <c r="F32" s="9">
        <f t="shared" ref="F32:J32" si="6">E32+1</f>
        <v>2026</v>
      </c>
      <c r="G32" s="9">
        <f t="shared" si="6"/>
        <v>2027</v>
      </c>
      <c r="H32" s="9">
        <f t="shared" si="6"/>
        <v>2028</v>
      </c>
      <c r="I32" s="9">
        <f t="shared" si="6"/>
        <v>2029</v>
      </c>
      <c r="J32" s="9">
        <f t="shared" si="6"/>
        <v>2030</v>
      </c>
    </row>
    <row r="33" spans="1:13" ht="15" customHeight="1">
      <c r="B33" s="9">
        <f>B21</f>
        <v>2019</v>
      </c>
      <c r="C33" s="18">
        <f>SUM(D33:J33)</f>
        <v>0</v>
      </c>
      <c r="D33" s="18">
        <f t="shared" ref="D33:F35" si="7">D21/(1+VLOOKUP(D$20-$B$15,$J$11:$K$17,2))^(D$20-$B$15-0.5)</f>
        <v>0</v>
      </c>
      <c r="E33" s="18">
        <f t="shared" si="7"/>
        <v>0</v>
      </c>
      <c r="F33" s="18"/>
      <c r="G33" s="18"/>
      <c r="H33" s="18"/>
      <c r="I33" s="18"/>
      <c r="J33" s="18"/>
    </row>
    <row r="34" spans="1:13" ht="15" customHeight="1">
      <c r="B34" s="9">
        <f t="shared" ref="B34:B37" si="8">B22</f>
        <v>2020</v>
      </c>
      <c r="C34" s="18">
        <f t="shared" ref="C34:C40" si="9">SUM(D34:J34)</f>
        <v>727.19253407094766</v>
      </c>
      <c r="D34" s="18">
        <f t="shared" si="7"/>
        <v>369.49847931161003</v>
      </c>
      <c r="E34" s="18">
        <f t="shared" si="7"/>
        <v>357.69405475933758</v>
      </c>
      <c r="F34" s="18"/>
      <c r="G34" s="18"/>
      <c r="H34" s="19"/>
      <c r="I34" s="19"/>
      <c r="J34" s="19"/>
    </row>
    <row r="35" spans="1:13" ht="15" customHeight="1">
      <c r="B35" s="9">
        <f t="shared" si="8"/>
        <v>2021</v>
      </c>
      <c r="C35" s="18">
        <f t="shared" si="9"/>
        <v>0</v>
      </c>
      <c r="D35" s="18">
        <f t="shared" si="7"/>
        <v>0</v>
      </c>
      <c r="E35" s="18">
        <f t="shared" si="7"/>
        <v>0</v>
      </c>
      <c r="F35" s="18">
        <f t="shared" si="7"/>
        <v>0</v>
      </c>
      <c r="G35" s="18"/>
      <c r="H35" s="18"/>
      <c r="I35" s="18"/>
      <c r="J35" s="18"/>
    </row>
    <row r="36" spans="1:13" ht="15" customHeight="1">
      <c r="B36" s="9">
        <f t="shared" si="8"/>
        <v>2022</v>
      </c>
      <c r="C36" s="18">
        <f t="shared" si="9"/>
        <v>236.39451342872266</v>
      </c>
      <c r="D36" s="18">
        <f>D24/(1+VLOOKUP(D$20-$B$15,$J$11:$K$17,2))^(D$20-$B$15-0.5)</f>
        <v>98.532927816429307</v>
      </c>
      <c r="E36" s="18">
        <f t="shared" ref="E36:G36" si="10">E24/(1+VLOOKUP(E20-$B$15,$J$11:$K$17,2))^(E20-$B$15-0.5)</f>
        <v>47.692540634578336</v>
      </c>
      <c r="F36" s="18">
        <f t="shared" si="10"/>
        <v>45.99055573091416</v>
      </c>
      <c r="G36" s="18">
        <f t="shared" si="10"/>
        <v>44.178489246800837</v>
      </c>
      <c r="H36" s="18"/>
      <c r="I36" s="18"/>
      <c r="J36" s="18"/>
    </row>
    <row r="37" spans="1:13" ht="15" customHeight="1">
      <c r="B37" s="117">
        <f t="shared" si="8"/>
        <v>2023</v>
      </c>
      <c r="C37" s="118">
        <f t="shared" si="9"/>
        <v>865.7500498979922</v>
      </c>
      <c r="D37" s="118">
        <f t="shared" ref="D37:H37" si="11">D25/(1+VLOOKUP(D20-$B$15,$J$11:$K$17,2))^(D20-$B$15-0.5)</f>
        <v>0</v>
      </c>
      <c r="E37" s="118">
        <f t="shared" si="11"/>
        <v>362.46330882279545</v>
      </c>
      <c r="F37" s="118">
        <f t="shared" si="11"/>
        <v>174.76411177747372</v>
      </c>
      <c r="G37" s="118">
        <f t="shared" si="11"/>
        <v>167.87825913784329</v>
      </c>
      <c r="H37" s="118">
        <f t="shared" si="11"/>
        <v>160.64437015987968</v>
      </c>
      <c r="I37" s="118"/>
      <c r="J37" s="118"/>
    </row>
    <row r="38" spans="1:13" ht="15" customHeight="1">
      <c r="B38" s="13" t="s">
        <v>92</v>
      </c>
      <c r="C38" s="18">
        <f t="shared" si="9"/>
        <v>1829.3370973976623</v>
      </c>
      <c r="D38" s="18">
        <f t="shared" ref="D38:J38" si="12">SUM(D33:D37)</f>
        <v>468.03140712803935</v>
      </c>
      <c r="E38" s="18">
        <f t="shared" si="12"/>
        <v>767.84990421671137</v>
      </c>
      <c r="F38" s="18">
        <f t="shared" si="12"/>
        <v>220.75466750838788</v>
      </c>
      <c r="G38" s="18">
        <f t="shared" si="12"/>
        <v>212.05674838464412</v>
      </c>
      <c r="H38" s="18">
        <f t="shared" si="12"/>
        <v>160.64437015987968</v>
      </c>
      <c r="I38" s="18">
        <f t="shared" si="12"/>
        <v>0</v>
      </c>
      <c r="J38" s="18">
        <f t="shared" si="12"/>
        <v>0</v>
      </c>
    </row>
    <row r="39" spans="1:13" ht="15" customHeight="1">
      <c r="B39" s="13" t="s">
        <v>115</v>
      </c>
      <c r="C39" s="18">
        <f t="shared" si="9"/>
        <v>182.93370973976624</v>
      </c>
      <c r="D39" s="18">
        <f>D38*$F$5</f>
        <v>46.803140712803938</v>
      </c>
      <c r="E39" s="18">
        <f t="shared" ref="E39:J39" si="13">E38*$F$5</f>
        <v>76.784990421671139</v>
      </c>
      <c r="F39" s="18">
        <f t="shared" si="13"/>
        <v>22.075466750838789</v>
      </c>
      <c r="G39" s="18">
        <f t="shared" si="13"/>
        <v>21.205674838464414</v>
      </c>
      <c r="H39" s="18">
        <f t="shared" si="13"/>
        <v>16.06443701598797</v>
      </c>
      <c r="I39" s="18">
        <f t="shared" si="13"/>
        <v>0</v>
      </c>
      <c r="J39" s="18">
        <f t="shared" si="13"/>
        <v>0</v>
      </c>
    </row>
    <row r="40" spans="1:13" ht="15" customHeight="1">
      <c r="B40" s="119" t="s">
        <v>143</v>
      </c>
      <c r="C40" s="118">
        <f t="shared" si="9"/>
        <v>0</v>
      </c>
      <c r="D40" s="118">
        <v>0</v>
      </c>
      <c r="E40" s="118">
        <v>0</v>
      </c>
      <c r="F40" s="118">
        <v>0</v>
      </c>
      <c r="G40" s="118">
        <v>0</v>
      </c>
      <c r="H40" s="118">
        <v>0</v>
      </c>
      <c r="I40" s="118">
        <v>0</v>
      </c>
      <c r="J40" s="118">
        <v>0</v>
      </c>
    </row>
    <row r="41" spans="1:13" ht="15" customHeight="1">
      <c r="A41" s="13"/>
      <c r="B41" s="13" t="s">
        <v>117</v>
      </c>
      <c r="C41" s="18">
        <f>SUM(C38:C40)</f>
        <v>2012.2708071374286</v>
      </c>
      <c r="D41" s="20"/>
      <c r="E41" s="20"/>
      <c r="F41" s="20"/>
      <c r="G41" s="20"/>
      <c r="H41" s="20"/>
      <c r="I41" s="21"/>
      <c r="J41" s="20"/>
    </row>
    <row r="42" spans="1:13" ht="15" customHeight="1">
      <c r="C42" s="18"/>
      <c r="D42" s="18"/>
      <c r="E42" s="18"/>
      <c r="F42" s="18"/>
      <c r="G42" s="18"/>
      <c r="H42" s="18"/>
      <c r="I42" s="18"/>
      <c r="J42" s="18"/>
    </row>
    <row r="43" spans="1:13" ht="15" customHeight="1">
      <c r="A43" s="25" t="s">
        <v>118</v>
      </c>
      <c r="C43" s="18"/>
      <c r="D43" s="18"/>
      <c r="E43" s="18"/>
      <c r="F43" s="18"/>
      <c r="G43" s="18"/>
      <c r="H43" s="18"/>
      <c r="I43" s="18"/>
      <c r="J43" s="18"/>
    </row>
    <row r="44" spans="1:13" ht="15" customHeight="1">
      <c r="C44" s="18"/>
      <c r="D44" s="18"/>
      <c r="E44" s="18"/>
      <c r="F44" s="18"/>
      <c r="G44" s="18"/>
      <c r="H44" s="18"/>
      <c r="I44" s="18"/>
      <c r="J44" s="18"/>
    </row>
    <row r="45" spans="1:13" ht="15" customHeight="1">
      <c r="A45" s="13" t="s">
        <v>119</v>
      </c>
      <c r="B45" s="13" t="str">
        <f>B41</f>
        <v>LIC</v>
      </c>
      <c r="C45" s="18">
        <f>C41</f>
        <v>2012.2708071374286</v>
      </c>
      <c r="D45" s="18"/>
      <c r="E45" s="18"/>
      <c r="F45" s="18"/>
      <c r="G45" s="18"/>
      <c r="H45" s="18"/>
      <c r="I45" s="18"/>
      <c r="J45" s="18"/>
    </row>
    <row r="46" spans="1:13" ht="15" customHeight="1">
      <c r="C46" s="18"/>
      <c r="D46" s="18"/>
      <c r="E46" s="18"/>
      <c r="F46" s="18"/>
      <c r="G46" s="18"/>
      <c r="H46" s="18"/>
      <c r="I46" s="18"/>
      <c r="J46" s="18"/>
    </row>
    <row r="47" spans="1:13" ht="15" customHeight="1">
      <c r="A47" s="13" t="s">
        <v>120</v>
      </c>
      <c r="B47" s="13" t="s">
        <v>121</v>
      </c>
      <c r="C47" s="18">
        <f>SUM(D47:J47)</f>
        <v>1826.0530662005945</v>
      </c>
      <c r="D47" s="18">
        <f>D26/(1+VLOOKUP(D$20-$B$15,$J$11:$K$17,2)+$M$47)^(D$20-$B$15-0.5)</f>
        <v>467.80437271879015</v>
      </c>
      <c r="E47" s="18">
        <f t="shared" ref="E47:J47" si="14">E26/(1+VLOOKUP(E$20-$B$15,$J$11:$K$17,2)+$M$47)^(E$20-$B$15-0.5)</f>
        <v>766.73519360082548</v>
      </c>
      <c r="F47" s="18">
        <f t="shared" si="14"/>
        <v>220.22183000568086</v>
      </c>
      <c r="G47" s="18">
        <f t="shared" si="14"/>
        <v>211.34189360711468</v>
      </c>
      <c r="H47" s="18">
        <f t="shared" si="14"/>
        <v>159.94977626818303</v>
      </c>
      <c r="I47" s="18">
        <f t="shared" si="14"/>
        <v>0</v>
      </c>
      <c r="J47" s="18">
        <f t="shared" si="14"/>
        <v>0</v>
      </c>
      <c r="M47" s="143">
        <v>1E-3</v>
      </c>
    </row>
    <row r="48" spans="1:13" ht="15" customHeight="1">
      <c r="B48" s="13" t="s">
        <v>115</v>
      </c>
      <c r="C48" s="18">
        <f t="shared" ref="C48:C49" si="15">SUM(D48:J48)</f>
        <v>182.60530662005942</v>
      </c>
      <c r="D48" s="18">
        <f>D47*$F$5</f>
        <v>46.780437271879016</v>
      </c>
      <c r="E48" s="18">
        <f t="shared" ref="E48:J48" si="16">E47*$F$5</f>
        <v>76.673519360082551</v>
      </c>
      <c r="F48" s="18">
        <f t="shared" si="16"/>
        <v>22.022183000568088</v>
      </c>
      <c r="G48" s="18">
        <f t="shared" si="16"/>
        <v>21.134189360711471</v>
      </c>
      <c r="H48" s="18">
        <f t="shared" si="16"/>
        <v>15.994977626818304</v>
      </c>
      <c r="I48" s="18">
        <f t="shared" si="16"/>
        <v>0</v>
      </c>
      <c r="J48" s="18">
        <f t="shared" si="16"/>
        <v>0</v>
      </c>
    </row>
    <row r="49" spans="1:13" ht="15" customHeight="1">
      <c r="B49" s="119" t="s">
        <v>116</v>
      </c>
      <c r="C49" s="118">
        <f t="shared" si="15"/>
        <v>0</v>
      </c>
      <c r="D49" s="118">
        <f t="shared" ref="D49:J49" si="17">D40</f>
        <v>0</v>
      </c>
      <c r="E49" s="118">
        <f t="shared" si="17"/>
        <v>0</v>
      </c>
      <c r="F49" s="118">
        <f t="shared" si="17"/>
        <v>0</v>
      </c>
      <c r="G49" s="118">
        <f t="shared" si="17"/>
        <v>0</v>
      </c>
      <c r="H49" s="118">
        <f t="shared" si="17"/>
        <v>0</v>
      </c>
      <c r="I49" s="118">
        <f t="shared" si="17"/>
        <v>0</v>
      </c>
      <c r="J49" s="118">
        <f t="shared" si="17"/>
        <v>0</v>
      </c>
    </row>
    <row r="50" spans="1:13" ht="15" customHeight="1">
      <c r="B50" s="13" t="s">
        <v>122</v>
      </c>
      <c r="C50" s="18">
        <f>SUM(C47:C49)</f>
        <v>2008.6583728206538</v>
      </c>
      <c r="D50" s="20"/>
      <c r="E50" s="20"/>
      <c r="F50" s="20"/>
      <c r="G50" s="20"/>
      <c r="H50" s="20"/>
      <c r="I50" s="21"/>
      <c r="J50" s="20"/>
    </row>
    <row r="52" spans="1:13" ht="15" customHeight="1">
      <c r="A52" s="13" t="s">
        <v>123</v>
      </c>
      <c r="B52" s="13" t="s">
        <v>121</v>
      </c>
      <c r="C52" s="18">
        <f>SUM(D52:J52)</f>
        <v>1832.6327717728484</v>
      </c>
      <c r="D52" s="18">
        <f>D26/(1+VLOOKUP(D$20-$B$15,$J$11:$K$17,2)-$M$47)^(D$20-$B$15-0.5)</f>
        <v>468.2587724108833</v>
      </c>
      <c r="E52" s="18">
        <f t="shared" ref="E52:J52" si="18">E26/(1+VLOOKUP(E$20-$B$15,$J$11:$K$17,2)-$M$47)^(E$20-$B$15-0.5)</f>
        <v>768.9673184718481</v>
      </c>
      <c r="F52" s="18">
        <f t="shared" si="18"/>
        <v>221.289311676415</v>
      </c>
      <c r="G52" s="18">
        <f t="shared" si="18"/>
        <v>212.77471498133403</v>
      </c>
      <c r="H52" s="18">
        <f t="shared" si="18"/>
        <v>161.34265423236795</v>
      </c>
      <c r="I52" s="18">
        <f t="shared" si="18"/>
        <v>0</v>
      </c>
      <c r="J52" s="18">
        <f t="shared" si="18"/>
        <v>0</v>
      </c>
      <c r="M52" s="60"/>
    </row>
    <row r="53" spans="1:13" ht="12.75">
      <c r="B53" s="13" t="s">
        <v>115</v>
      </c>
      <c r="C53" s="18">
        <f t="shared" ref="C53:C54" si="19">SUM(D53:J53)</f>
        <v>183.26327717728483</v>
      </c>
      <c r="D53" s="18">
        <f>D52*$F$5</f>
        <v>46.825877241088335</v>
      </c>
      <c r="E53" s="18">
        <f t="shared" ref="E53" si="20">E52*$F$5</f>
        <v>76.89673184718481</v>
      </c>
      <c r="F53" s="18">
        <f t="shared" ref="F53" si="21">F52*$F$5</f>
        <v>22.1289311676415</v>
      </c>
      <c r="G53" s="18">
        <f t="shared" ref="G53" si="22">G52*$F$5</f>
        <v>21.277471498133405</v>
      </c>
      <c r="H53" s="18">
        <f t="shared" ref="H53" si="23">H52*$F$5</f>
        <v>16.134265423236794</v>
      </c>
      <c r="I53" s="18">
        <f t="shared" ref="I53" si="24">I52*$F$5</f>
        <v>0</v>
      </c>
      <c r="J53" s="18">
        <f t="shared" ref="J53" si="25">J52*$F$5</f>
        <v>0</v>
      </c>
    </row>
    <row r="54" spans="1:13" ht="15" customHeight="1">
      <c r="B54" s="119" t="s">
        <v>116</v>
      </c>
      <c r="C54" s="118">
        <f t="shared" si="19"/>
        <v>0</v>
      </c>
      <c r="D54" s="118">
        <f>D49</f>
        <v>0</v>
      </c>
      <c r="E54" s="118">
        <f t="shared" ref="E54:J54" si="26">E49</f>
        <v>0</v>
      </c>
      <c r="F54" s="118">
        <f t="shared" si="26"/>
        <v>0</v>
      </c>
      <c r="G54" s="118">
        <f t="shared" si="26"/>
        <v>0</v>
      </c>
      <c r="H54" s="118">
        <f t="shared" si="26"/>
        <v>0</v>
      </c>
      <c r="I54" s="118">
        <f t="shared" si="26"/>
        <v>0</v>
      </c>
      <c r="J54" s="118">
        <f t="shared" si="26"/>
        <v>0</v>
      </c>
      <c r="K54" s="3"/>
      <c r="L54" s="4"/>
    </row>
    <row r="55" spans="1:13" ht="15" customHeight="1">
      <c r="B55" s="13" t="s">
        <v>124</v>
      </c>
      <c r="C55" s="18">
        <f>SUM(C52:C54)</f>
        <v>2015.8960489501333</v>
      </c>
      <c r="D55" s="20"/>
      <c r="E55" s="20"/>
      <c r="F55" s="20"/>
      <c r="G55" s="20"/>
      <c r="H55" s="20"/>
      <c r="I55" s="21"/>
      <c r="J55" s="20"/>
      <c r="K55" s="4"/>
    </row>
    <row r="56" spans="1:13" ht="15" customHeight="1">
      <c r="J56" s="3"/>
      <c r="K56" s="4"/>
    </row>
    <row r="57" spans="1:13" ht="15" customHeight="1">
      <c r="B57" s="10" t="s">
        <v>125</v>
      </c>
      <c r="C57" s="23">
        <f>(C55-C50)/(C45*2*$M$47)</f>
        <v>1.7983852133141833</v>
      </c>
      <c r="D57" s="14" t="s">
        <v>126</v>
      </c>
      <c r="J57" s="3"/>
      <c r="K57" s="4"/>
    </row>
    <row r="58" spans="1:13" ht="15" customHeight="1">
      <c r="B58" s="10"/>
      <c r="C58" s="24"/>
      <c r="D58" s="14"/>
      <c r="J58" s="3"/>
      <c r="K58" s="4"/>
    </row>
    <row r="59" spans="1:13" ht="15" customHeight="1">
      <c r="B59" s="10"/>
      <c r="C59" s="22"/>
      <c r="D59" s="14"/>
      <c r="J59" s="3"/>
      <c r="K59" s="4"/>
    </row>
    <row r="60" spans="1:13" ht="15" customHeight="1">
      <c r="A60" s="25" t="s">
        <v>127</v>
      </c>
      <c r="B60" s="10"/>
      <c r="C60" s="22"/>
      <c r="D60" s="14"/>
      <c r="J60" s="3"/>
      <c r="K60" s="4"/>
    </row>
    <row r="61" spans="1:13" ht="15" customHeight="1">
      <c r="B61" s="10"/>
      <c r="C61" s="22"/>
      <c r="D61" s="179" t="s">
        <v>165</v>
      </c>
      <c r="J61" s="3"/>
      <c r="K61" s="4"/>
    </row>
    <row r="62" spans="1:13" ht="15" customHeight="1">
      <c r="B62" s="145"/>
      <c r="C62" s="13" t="s">
        <v>92</v>
      </c>
      <c r="D62" s="13">
        <v>0</v>
      </c>
      <c r="E62" s="13">
        <v>0.5</v>
      </c>
      <c r="F62" s="13">
        <f>E62+1</f>
        <v>1.5</v>
      </c>
      <c r="G62" s="13">
        <f t="shared" ref="G62:K62" si="27">F62+1</f>
        <v>2.5</v>
      </c>
      <c r="H62" s="13">
        <f t="shared" si="27"/>
        <v>3.5</v>
      </c>
      <c r="I62" s="13">
        <f t="shared" si="27"/>
        <v>4.5</v>
      </c>
      <c r="J62" s="13">
        <f t="shared" si="27"/>
        <v>5.5</v>
      </c>
      <c r="K62" s="13">
        <f t="shared" si="27"/>
        <v>6.5</v>
      </c>
    </row>
    <row r="63" spans="1:13" ht="15" customHeight="1">
      <c r="B63" s="145" t="s">
        <v>128</v>
      </c>
      <c r="C63" s="18">
        <f>SUM(D63:K63)</f>
        <v>2145</v>
      </c>
      <c r="D63" s="18">
        <f>C40</f>
        <v>0</v>
      </c>
      <c r="E63" s="18">
        <f t="shared" ref="E63:K63" si="28">D26+D26*$F$5</f>
        <v>522.50000000000011</v>
      </c>
      <c r="F63" s="18">
        <f t="shared" si="28"/>
        <v>885.5</v>
      </c>
      <c r="G63" s="18">
        <f t="shared" si="28"/>
        <v>264</v>
      </c>
      <c r="H63" s="18">
        <f t="shared" si="28"/>
        <v>264.00000000000006</v>
      </c>
      <c r="I63" s="18">
        <f t="shared" si="28"/>
        <v>208.99999999999997</v>
      </c>
      <c r="J63" s="18">
        <f t="shared" si="28"/>
        <v>0</v>
      </c>
      <c r="K63" s="18">
        <f t="shared" si="28"/>
        <v>0</v>
      </c>
    </row>
    <row r="64" spans="1:13" ht="15" customHeight="1">
      <c r="B64" s="145" t="s">
        <v>129</v>
      </c>
      <c r="C64" s="18">
        <f>SUM(D64:K64)</f>
        <v>2012.2708071374286</v>
      </c>
      <c r="D64" s="18">
        <f>D63</f>
        <v>0</v>
      </c>
      <c r="E64" s="18">
        <f t="shared" ref="E64:K64" si="29">SUM(D38:D39)</f>
        <v>514.83454784084324</v>
      </c>
      <c r="F64" s="18">
        <f t="shared" si="29"/>
        <v>844.63489463838255</v>
      </c>
      <c r="G64" s="18">
        <f t="shared" si="29"/>
        <v>242.83013425922667</v>
      </c>
      <c r="H64" s="18">
        <f t="shared" si="29"/>
        <v>233.26242322310853</v>
      </c>
      <c r="I64" s="18">
        <f t="shared" si="29"/>
        <v>176.70880717586766</v>
      </c>
      <c r="J64" s="18">
        <f t="shared" si="29"/>
        <v>0</v>
      </c>
      <c r="K64" s="18">
        <f t="shared" si="29"/>
        <v>0</v>
      </c>
    </row>
    <row r="65" spans="2:14" ht="15" customHeight="1">
      <c r="B65" s="145" t="s">
        <v>100</v>
      </c>
      <c r="C65" s="21"/>
      <c r="D65" s="19">
        <f>E65</f>
        <v>0.03</v>
      </c>
      <c r="E65" s="19">
        <f>(VLOOKUP(D$20-$B$15,$J$11:$K$17,2))</f>
        <v>0.03</v>
      </c>
      <c r="F65" s="19">
        <f t="shared" ref="F65:K65" si="30">(VLOOKUP(E$20-$B$15,$J$11:$K$17,2))</f>
        <v>3.2000000000000001E-2</v>
      </c>
      <c r="G65" s="19">
        <f t="shared" si="30"/>
        <v>3.4000000000000002E-2</v>
      </c>
      <c r="H65" s="19">
        <f t="shared" si="30"/>
        <v>3.6000000000000004E-2</v>
      </c>
      <c r="I65" s="19">
        <f t="shared" si="30"/>
        <v>3.8000000000000006E-2</v>
      </c>
      <c r="J65" s="19">
        <f t="shared" si="30"/>
        <v>4.0000000000000008E-2</v>
      </c>
      <c r="K65" s="19">
        <f t="shared" si="30"/>
        <v>4.0000000000000008E-2</v>
      </c>
      <c r="N65" s="18"/>
    </row>
    <row r="66" spans="2:14" ht="15" customHeight="1">
      <c r="B66" s="10"/>
      <c r="D66" s="13"/>
      <c r="E66" s="13"/>
      <c r="F66" s="13"/>
      <c r="G66" s="13"/>
      <c r="H66" s="13"/>
      <c r="I66" s="13"/>
      <c r="J66" s="13"/>
      <c r="K66" s="13"/>
    </row>
    <row r="67" spans="2:14" ht="15" customHeight="1">
      <c r="B67" s="149" t="s">
        <v>130</v>
      </c>
      <c r="C67" s="137"/>
      <c r="D67" s="13"/>
      <c r="E67" s="13"/>
      <c r="F67" s="13"/>
      <c r="G67" s="13"/>
      <c r="H67" s="13"/>
      <c r="I67" s="13"/>
      <c r="J67" s="13"/>
      <c r="K67" s="13"/>
    </row>
    <row r="68" spans="2:14" ht="15" customHeight="1">
      <c r="B68" s="10" t="s">
        <v>131</v>
      </c>
      <c r="C68" s="137">
        <f>XIRR(C78:K78,C77:K77)</f>
        <v>3.4365317225456229E-2</v>
      </c>
      <c r="D68" s="13"/>
      <c r="E68" s="13"/>
      <c r="F68" s="13"/>
      <c r="G68" s="13"/>
      <c r="H68" s="13"/>
      <c r="I68" s="13"/>
      <c r="J68" s="13"/>
      <c r="K68" s="13"/>
    </row>
    <row r="69" spans="2:14" ht="15" customHeight="1">
      <c r="B69" s="10" t="s">
        <v>132</v>
      </c>
      <c r="C69" s="137">
        <f>SUMPRODUCT($D$65:$K$65,$D$62:$K$62,D63:K63)/SUMPRODUCT($D$62:$K$62,D63:K63)</f>
        <v>3.446390374331551E-2</v>
      </c>
      <c r="D69" s="13"/>
      <c r="E69" s="13"/>
      <c r="F69" s="13"/>
      <c r="G69" s="13"/>
      <c r="H69" s="13"/>
      <c r="I69" s="13"/>
      <c r="J69" s="13"/>
      <c r="K69" s="13"/>
    </row>
    <row r="70" spans="2:14" ht="15" customHeight="1">
      <c r="B70" s="10" t="s">
        <v>133</v>
      </c>
      <c r="C70" s="137">
        <f>SUMPRODUCT($D$65:$K$65,$D$62:$K$62,D64:K64)/SUMPRODUCT($D$62:$K$62,D64:K64)</f>
        <v>3.4333957785366777E-2</v>
      </c>
      <c r="D70" s="13"/>
      <c r="E70" s="13"/>
      <c r="F70" s="13"/>
      <c r="G70" s="13"/>
      <c r="H70" s="13"/>
      <c r="I70" s="13"/>
      <c r="J70" s="13"/>
      <c r="K70" s="4"/>
    </row>
    <row r="71" spans="2:14" ht="15" customHeight="1">
      <c r="B71" s="10" t="s">
        <v>134</v>
      </c>
      <c r="C71" s="150">
        <f>C68</f>
        <v>3.4365317225456229E-2</v>
      </c>
      <c r="D71" s="13"/>
      <c r="E71" s="13"/>
      <c r="F71" s="13"/>
      <c r="G71" s="13"/>
      <c r="H71" s="13"/>
      <c r="I71" s="13"/>
      <c r="J71" s="13"/>
      <c r="K71" s="4"/>
    </row>
    <row r="72" spans="2:14" ht="15" customHeight="1">
      <c r="B72" s="10"/>
      <c r="C72" s="138"/>
      <c r="D72" s="13"/>
      <c r="E72" s="13"/>
      <c r="F72" s="13"/>
      <c r="G72" s="13"/>
      <c r="H72" s="13"/>
      <c r="I72" s="13"/>
      <c r="J72" s="13"/>
      <c r="K72" s="4"/>
    </row>
    <row r="73" spans="2:14" ht="15" customHeight="1">
      <c r="B73" s="10" t="s">
        <v>224</v>
      </c>
      <c r="C73" s="23">
        <f>SUMPRODUCT(D64:K64,D62:K62)/SUM(C64)</f>
        <v>1.8601139825822228</v>
      </c>
      <c r="D73" s="13"/>
      <c r="E73" s="13"/>
      <c r="F73" s="13"/>
      <c r="G73" s="13"/>
      <c r="H73" s="13"/>
      <c r="I73" s="13"/>
      <c r="J73" s="13"/>
      <c r="K73" s="4"/>
    </row>
    <row r="74" spans="2:14" ht="15" customHeight="1">
      <c r="B74" s="10" t="s">
        <v>135</v>
      </c>
      <c r="C74" s="23">
        <f>C73/(1+C71)</f>
        <v>1.7983143398231145</v>
      </c>
    </row>
    <row r="75" spans="2:14" ht="15" customHeight="1">
      <c r="B75" s="10" t="s">
        <v>234</v>
      </c>
      <c r="C75" s="23" cm="1">
        <f t="array" ref="C75">SUMPRODUCT(D64:K64,D62:K62,1/(1+D65:K65))/C64</f>
        <v>1.7983799779582443</v>
      </c>
      <c r="D75" s="11"/>
      <c r="E75" s="11"/>
      <c r="F75" s="11"/>
      <c r="G75" s="11"/>
      <c r="H75" s="11"/>
      <c r="I75" s="11"/>
      <c r="J75" s="11"/>
      <c r="K75" s="11"/>
      <c r="L75" s="11"/>
    </row>
    <row r="77" spans="2:14" ht="15" customHeight="1">
      <c r="C77" s="141">
        <v>44926</v>
      </c>
      <c r="D77" s="139">
        <f>$C$77+D62*365</f>
        <v>44926</v>
      </c>
      <c r="E77" s="139">
        <f t="shared" ref="E77:K77" si="31">$C$77+E62*365</f>
        <v>45108.5</v>
      </c>
      <c r="F77" s="139">
        <f t="shared" si="31"/>
        <v>45473.5</v>
      </c>
      <c r="G77" s="139">
        <f t="shared" si="31"/>
        <v>45838.5</v>
      </c>
      <c r="H77" s="139">
        <f t="shared" si="31"/>
        <v>46203.5</v>
      </c>
      <c r="I77" s="139">
        <f t="shared" si="31"/>
        <v>46568.5</v>
      </c>
      <c r="J77" s="139">
        <f t="shared" si="31"/>
        <v>46933.5</v>
      </c>
      <c r="K77" s="139">
        <f t="shared" si="31"/>
        <v>47298.5</v>
      </c>
    </row>
    <row r="78" spans="2:14" ht="15" customHeight="1">
      <c r="C78" s="18">
        <f>-C64</f>
        <v>-2012.2708071374286</v>
      </c>
      <c r="D78" s="18">
        <f t="shared" ref="D78:K78" si="32">D63</f>
        <v>0</v>
      </c>
      <c r="E78" s="18">
        <f t="shared" si="32"/>
        <v>522.50000000000011</v>
      </c>
      <c r="F78" s="18">
        <f t="shared" si="32"/>
        <v>885.5</v>
      </c>
      <c r="G78" s="18">
        <f t="shared" si="32"/>
        <v>264</v>
      </c>
      <c r="H78" s="18">
        <f t="shared" si="32"/>
        <v>264.00000000000006</v>
      </c>
      <c r="I78" s="18">
        <f t="shared" si="32"/>
        <v>208.99999999999997</v>
      </c>
      <c r="J78" s="18">
        <f t="shared" si="32"/>
        <v>0</v>
      </c>
      <c r="K78" s="18">
        <f t="shared" si="32"/>
        <v>0</v>
      </c>
    </row>
  </sheetData>
  <mergeCells count="2">
    <mergeCell ref="D19:J19"/>
    <mergeCell ref="D31:J31"/>
  </mergeCells>
  <printOptions horizontalCentered="1"/>
  <pageMargins left="0.59055118110236227" right="0.39370078740157483" top="0.59055118110236227" bottom="0.74803149606299213" header="0.31496062992125984" footer="0.31496062992125984"/>
  <pageSetup scale="63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79998168889431442"/>
  </sheetPr>
  <dimension ref="A1:N78"/>
  <sheetViews>
    <sheetView view="pageBreakPreview" topLeftCell="A11" zoomScale="85" zoomScaleNormal="85" zoomScaleSheetLayoutView="85" workbookViewId="0">
      <selection activeCell="C58" sqref="C58"/>
    </sheetView>
  </sheetViews>
  <sheetFormatPr defaultColWidth="9.140625" defaultRowHeight="15" customHeight="1"/>
  <cols>
    <col min="1" max="1" width="6.7109375" style="2" customWidth="1"/>
    <col min="2" max="2" width="25.7109375" style="2" customWidth="1"/>
    <col min="3" max="3" width="11.7109375" style="2" customWidth="1"/>
    <col min="4" max="12" width="10.7109375" style="2" customWidth="1"/>
    <col min="13" max="13" width="3.140625" style="2" customWidth="1"/>
    <col min="14" max="22" width="11.7109375" style="2" customWidth="1"/>
    <col min="23" max="16384" width="9.140625" style="2"/>
  </cols>
  <sheetData>
    <row r="1" spans="1:13" ht="15" customHeight="1">
      <c r="A1" s="1" t="s">
        <v>145</v>
      </c>
      <c r="L1" s="3" t="s">
        <v>0</v>
      </c>
      <c r="M1" s="4" t="s">
        <v>146</v>
      </c>
    </row>
    <row r="2" spans="1:13" ht="15" customHeight="1">
      <c r="L2" s="3" t="s">
        <v>2</v>
      </c>
      <c r="M2" s="4">
        <v>1</v>
      </c>
    </row>
    <row r="3" spans="1:13" ht="15" customHeight="1">
      <c r="B3" s="5" t="s">
        <v>94</v>
      </c>
      <c r="I3" s="6"/>
      <c r="J3" s="6"/>
    </row>
    <row r="4" spans="1:13" ht="15" customHeight="1">
      <c r="B4" s="2" t="s">
        <v>147</v>
      </c>
      <c r="I4" s="6"/>
      <c r="J4" s="6"/>
    </row>
    <row r="5" spans="1:13" ht="15" customHeight="1">
      <c r="B5" s="2" t="s">
        <v>148</v>
      </c>
      <c r="I5" s="6"/>
      <c r="J5" s="6"/>
    </row>
    <row r="6" spans="1:13" ht="15" customHeight="1">
      <c r="B6" s="2" t="s">
        <v>149</v>
      </c>
      <c r="I6" s="6"/>
      <c r="J6" s="6"/>
    </row>
    <row r="7" spans="1:13" ht="15" customHeight="1">
      <c r="B7" s="2" t="s">
        <v>96</v>
      </c>
      <c r="E7" s="102">
        <v>0.1</v>
      </c>
      <c r="I7" s="6"/>
      <c r="J7" s="6"/>
    </row>
    <row r="8" spans="1:13" ht="15" customHeight="1">
      <c r="B8" s="2" t="s">
        <v>150</v>
      </c>
      <c r="I8" s="6"/>
      <c r="J8" s="6"/>
    </row>
    <row r="9" spans="1:13" ht="15" customHeight="1">
      <c r="B9" s="2" t="s">
        <v>151</v>
      </c>
      <c r="I9" s="6"/>
      <c r="J9" s="6"/>
    </row>
    <row r="11" spans="1:13" ht="15" customHeight="1">
      <c r="B11" s="7" t="s">
        <v>139</v>
      </c>
      <c r="F11" s="5" t="s">
        <v>99</v>
      </c>
      <c r="J11" s="5" t="s">
        <v>100</v>
      </c>
    </row>
    <row r="12" spans="1:13" ht="15" customHeight="1">
      <c r="B12" s="7"/>
      <c r="F12" s="5"/>
      <c r="J12" s="5"/>
    </row>
    <row r="13" spans="1:13" s="8" customFormat="1" ht="15" customHeight="1">
      <c r="B13" s="2" t="s">
        <v>152</v>
      </c>
      <c r="C13" s="16">
        <v>1500</v>
      </c>
      <c r="F13" s="8" t="s">
        <v>103</v>
      </c>
      <c r="G13" s="8" t="s">
        <v>102</v>
      </c>
      <c r="J13" s="8" t="s">
        <v>104</v>
      </c>
      <c r="K13" s="8" t="s">
        <v>105</v>
      </c>
    </row>
    <row r="14" spans="1:13" ht="15" customHeight="1">
      <c r="B14" s="103" t="s">
        <v>153</v>
      </c>
      <c r="C14" s="16">
        <v>100</v>
      </c>
      <c r="D14" s="16"/>
      <c r="E14" s="13"/>
      <c r="F14" s="13">
        <v>12</v>
      </c>
      <c r="G14" s="15">
        <v>0.35</v>
      </c>
      <c r="H14" s="15"/>
      <c r="J14" s="13">
        <v>1</v>
      </c>
      <c r="K14" s="17">
        <v>0.03</v>
      </c>
      <c r="L14" s="17"/>
    </row>
    <row r="15" spans="1:13" ht="15" customHeight="1">
      <c r="B15" s="103" t="s">
        <v>154</v>
      </c>
      <c r="C15" s="16">
        <v>2100</v>
      </c>
      <c r="D15" s="16"/>
      <c r="E15" s="13"/>
      <c r="F15" s="13">
        <f>F14+12</f>
        <v>24</v>
      </c>
      <c r="G15" s="15">
        <v>0.7</v>
      </c>
      <c r="H15" s="15"/>
      <c r="J15" s="13">
        <f>J14+1</f>
        <v>2</v>
      </c>
      <c r="K15" s="17">
        <f>K14+0.2%</f>
        <v>3.2000000000000001E-2</v>
      </c>
      <c r="L15" s="17"/>
    </row>
    <row r="16" spans="1:13" ht="15" customHeight="1">
      <c r="B16" s="103" t="s">
        <v>155</v>
      </c>
      <c r="C16" s="16">
        <f>C13*2%</f>
        <v>30</v>
      </c>
      <c r="D16" s="16"/>
      <c r="E16" s="13"/>
      <c r="F16" s="13">
        <f t="shared" ref="F16:F19" si="0">F15+12</f>
        <v>36</v>
      </c>
      <c r="G16" s="15">
        <v>0.8</v>
      </c>
      <c r="H16" s="15"/>
      <c r="J16" s="13">
        <f t="shared" ref="J16:J19" si="1">J15+1</f>
        <v>3</v>
      </c>
      <c r="K16" s="17">
        <f t="shared" ref="K16:K19" si="2">K15+0.2%</f>
        <v>3.4000000000000002E-2</v>
      </c>
      <c r="L16" s="17"/>
    </row>
    <row r="17" spans="2:12" ht="15" customHeight="1">
      <c r="B17" s="103" t="s">
        <v>156</v>
      </c>
      <c r="C17" s="16">
        <v>0</v>
      </c>
      <c r="D17" s="16"/>
      <c r="E17" s="13"/>
      <c r="F17" s="13">
        <f t="shared" si="0"/>
        <v>48</v>
      </c>
      <c r="G17" s="15">
        <v>0.85</v>
      </c>
      <c r="H17" s="15"/>
      <c r="J17" s="13">
        <f t="shared" si="1"/>
        <v>4</v>
      </c>
      <c r="K17" s="17">
        <f t="shared" si="2"/>
        <v>3.6000000000000004E-2</v>
      </c>
      <c r="L17" s="17"/>
    </row>
    <row r="18" spans="2:12" ht="15" customHeight="1">
      <c r="E18" s="13"/>
      <c r="F18" s="13">
        <f t="shared" si="0"/>
        <v>60</v>
      </c>
      <c r="G18" s="15">
        <v>0.95</v>
      </c>
      <c r="H18" s="15"/>
      <c r="J18" s="13">
        <f t="shared" si="1"/>
        <v>5</v>
      </c>
      <c r="K18" s="17">
        <f t="shared" si="2"/>
        <v>3.8000000000000006E-2</v>
      </c>
      <c r="L18" s="17"/>
    </row>
    <row r="19" spans="2:12" ht="15" customHeight="1">
      <c r="D19" s="13"/>
      <c r="E19" s="13"/>
      <c r="F19" s="13">
        <f t="shared" si="0"/>
        <v>72</v>
      </c>
      <c r="G19" s="15">
        <v>1</v>
      </c>
      <c r="H19" s="15"/>
      <c r="J19" s="13">
        <f t="shared" si="1"/>
        <v>6</v>
      </c>
      <c r="K19" s="17">
        <f t="shared" si="2"/>
        <v>4.0000000000000008E-2</v>
      </c>
      <c r="L19" s="17"/>
    </row>
    <row r="20" spans="2:12" ht="15" customHeight="1">
      <c r="C20" s="13"/>
      <c r="D20" s="13"/>
      <c r="E20" s="13"/>
      <c r="F20" s="13"/>
      <c r="G20" s="15"/>
      <c r="H20" s="15"/>
      <c r="J20" s="13"/>
      <c r="K20" s="17"/>
      <c r="L20" s="17"/>
    </row>
    <row r="21" spans="2:12" ht="15" customHeight="1">
      <c r="C21" s="13"/>
      <c r="D21" s="105">
        <v>12</v>
      </c>
      <c r="E21" s="105">
        <v>12</v>
      </c>
      <c r="F21" s="105">
        <v>12</v>
      </c>
      <c r="G21" s="105">
        <v>12</v>
      </c>
      <c r="H21" s="105">
        <v>24</v>
      </c>
      <c r="I21" s="105">
        <v>36</v>
      </c>
      <c r="J21" s="105">
        <v>48</v>
      </c>
      <c r="K21" s="105">
        <v>60</v>
      </c>
      <c r="L21" s="105">
        <v>72</v>
      </c>
    </row>
    <row r="22" spans="2:12" ht="15" customHeight="1">
      <c r="B22" s="1" t="s">
        <v>157</v>
      </c>
    </row>
    <row r="23" spans="2:12" ht="15" customHeight="1">
      <c r="D23" s="183" t="s">
        <v>107</v>
      </c>
      <c r="E23" s="183"/>
      <c r="F23" s="183"/>
      <c r="G23" s="183"/>
      <c r="H23" s="183"/>
      <c r="I23" s="183"/>
      <c r="J23" s="183"/>
      <c r="K23" s="183"/>
      <c r="L23" s="183"/>
    </row>
    <row r="24" spans="2:12" ht="15" customHeight="1">
      <c r="B24" s="8"/>
      <c r="C24" s="12" t="s">
        <v>219</v>
      </c>
      <c r="D24" s="9" t="s">
        <v>158</v>
      </c>
      <c r="E24" s="9" t="s">
        <v>159</v>
      </c>
      <c r="F24" s="9" t="s">
        <v>160</v>
      </c>
      <c r="G24" s="9" t="s">
        <v>161</v>
      </c>
      <c r="H24" s="9">
        <v>2025</v>
      </c>
      <c r="I24" s="9">
        <f t="shared" ref="I24:L24" si="3">H24+1</f>
        <v>2026</v>
      </c>
      <c r="J24" s="9">
        <f t="shared" si="3"/>
        <v>2027</v>
      </c>
      <c r="K24" s="9">
        <f t="shared" si="3"/>
        <v>2028</v>
      </c>
      <c r="L24" s="9">
        <f t="shared" si="3"/>
        <v>2029</v>
      </c>
    </row>
    <row r="25" spans="2:12" ht="15" customHeight="1">
      <c r="B25" s="6" t="s">
        <v>162</v>
      </c>
      <c r="C25" s="18">
        <f>SUM(D25:L25)</f>
        <v>-100</v>
      </c>
      <c r="D25" s="18">
        <f>-C14</f>
        <v>-100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</row>
    <row r="26" spans="2:12" ht="15" customHeight="1">
      <c r="B26" s="6" t="str">
        <f>B15</f>
        <v>Future Claims &amp; Claims Exp.</v>
      </c>
      <c r="C26" s="18">
        <f t="shared" ref="C26:C28" si="4">SUM(D26:L26)</f>
        <v>2100</v>
      </c>
      <c r="D26" s="18">
        <f>INDEX($G$14:$G$19,MATCH(D$21,$F$14:$F$19,0),1)*$C$15*25%</f>
        <v>183.75</v>
      </c>
      <c r="E26" s="18">
        <f>INDEX($G$14:$G$19,MATCH(E$21,$F$14:$F$19,0),1)*$C$15*25%</f>
        <v>183.75</v>
      </c>
      <c r="F26" s="18">
        <f>INDEX($G$14:$G$19,MATCH(F$21,$F$14:$F$19,0),1)*$C$15*25%</f>
        <v>183.75</v>
      </c>
      <c r="G26" s="18">
        <f>INDEX($G$14:$G$19,MATCH(G$21,$F$14:$F$19,0),1)*$C$15*25%</f>
        <v>183.75</v>
      </c>
      <c r="H26" s="18">
        <f>INDEX($G$14:$G$19,MATCH(H$21,$F$14:$F$19,0),1)*$C$15-SUM($D$26:G26)</f>
        <v>735</v>
      </c>
      <c r="I26" s="18">
        <f>INDEX($G$14:$G$19,MATCH(I$21,$F$14:$F$19,0),1)*$C$15-SUM($D$26:H26)</f>
        <v>210</v>
      </c>
      <c r="J26" s="18">
        <f>INDEX($G$14:$G$19,MATCH(J$21,$F$14:$F$19,0),1)*$C$15-SUM($D$26:I26)</f>
        <v>105</v>
      </c>
      <c r="K26" s="18">
        <f>INDEX($G$14:$G$19,MATCH(K$21,$F$14:$F$19,0),1)*$C$15-SUM($D$26:J26)</f>
        <v>210</v>
      </c>
      <c r="L26" s="18">
        <f>INDEX($G$14:$G$19,MATCH(L$21,$F$14:$F$19,0),1)*$C$15-SUM($D$26:K26)</f>
        <v>105</v>
      </c>
    </row>
    <row r="27" spans="2:12" ht="15" customHeight="1">
      <c r="B27" s="2" t="str">
        <f>B17</f>
        <v>Ins. Acquisition Cash Flow</v>
      </c>
      <c r="C27" s="18">
        <f t="shared" si="4"/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</row>
    <row r="28" spans="2:12" ht="15" customHeight="1">
      <c r="B28" s="120" t="s">
        <v>226</v>
      </c>
      <c r="C28" s="118">
        <f t="shared" si="4"/>
        <v>30</v>
      </c>
      <c r="D28" s="118">
        <f>$C$16*25%</f>
        <v>7.5</v>
      </c>
      <c r="E28" s="118">
        <f>$C$16*25%</f>
        <v>7.5</v>
      </c>
      <c r="F28" s="118">
        <f>$C$16*25%</f>
        <v>7.5</v>
      </c>
      <c r="G28" s="118">
        <f>$C$16*25%</f>
        <v>7.5</v>
      </c>
      <c r="H28" s="118">
        <v>0</v>
      </c>
      <c r="I28" s="118">
        <v>0</v>
      </c>
      <c r="J28" s="118">
        <v>0</v>
      </c>
      <c r="K28" s="118">
        <v>0</v>
      </c>
      <c r="L28" s="118">
        <v>0</v>
      </c>
    </row>
    <row r="29" spans="2:12" ht="15" customHeight="1">
      <c r="B29" s="104" t="s">
        <v>92</v>
      </c>
      <c r="C29" s="18">
        <f t="shared" ref="C29:L29" si="5">SUM(C25:C28)</f>
        <v>2030</v>
      </c>
      <c r="D29" s="18">
        <f t="shared" si="5"/>
        <v>91.25</v>
      </c>
      <c r="E29" s="18">
        <f t="shared" si="5"/>
        <v>191.25</v>
      </c>
      <c r="F29" s="18">
        <f t="shared" si="5"/>
        <v>191.25</v>
      </c>
      <c r="G29" s="18">
        <f t="shared" si="5"/>
        <v>191.25</v>
      </c>
      <c r="H29" s="18">
        <f t="shared" si="5"/>
        <v>735</v>
      </c>
      <c r="I29" s="18">
        <f t="shared" si="5"/>
        <v>210</v>
      </c>
      <c r="J29" s="18">
        <f t="shared" si="5"/>
        <v>105</v>
      </c>
      <c r="K29" s="18">
        <f t="shared" si="5"/>
        <v>210</v>
      </c>
      <c r="L29" s="18">
        <f t="shared" si="5"/>
        <v>105</v>
      </c>
    </row>
    <row r="31" spans="2:12" ht="15" customHeight="1">
      <c r="B31" s="1" t="s">
        <v>164</v>
      </c>
    </row>
    <row r="32" spans="2:12" ht="15" customHeight="1">
      <c r="D32" s="183" t="s">
        <v>107</v>
      </c>
      <c r="E32" s="183"/>
      <c r="F32" s="183"/>
      <c r="G32" s="183"/>
      <c r="H32" s="183"/>
      <c r="I32" s="183"/>
      <c r="J32" s="183"/>
      <c r="K32" s="183"/>
      <c r="L32" s="183"/>
    </row>
    <row r="33" spans="1:12" ht="15" customHeight="1">
      <c r="B33" s="8"/>
      <c r="C33" s="12" t="s">
        <v>165</v>
      </c>
      <c r="D33" s="9">
        <v>0.125</v>
      </c>
      <c r="E33" s="9">
        <f>D33+0.25</f>
        <v>0.375</v>
      </c>
      <c r="F33" s="9">
        <f t="shared" ref="F33:G33" si="6">E33+0.25</f>
        <v>0.625</v>
      </c>
      <c r="G33" s="9">
        <f t="shared" si="6"/>
        <v>0.875</v>
      </c>
      <c r="H33" s="9">
        <v>1.5</v>
      </c>
      <c r="I33" s="9">
        <f t="shared" ref="I33:L33" si="7">H33+1</f>
        <v>2.5</v>
      </c>
      <c r="J33" s="9">
        <f t="shared" si="7"/>
        <v>3.5</v>
      </c>
      <c r="K33" s="9">
        <f t="shared" si="7"/>
        <v>4.5</v>
      </c>
      <c r="L33" s="9">
        <f t="shared" si="7"/>
        <v>5.5</v>
      </c>
    </row>
    <row r="34" spans="1:12" ht="15" customHeight="1">
      <c r="B34" s="103" t="s">
        <v>166</v>
      </c>
      <c r="C34" s="18">
        <f t="shared" ref="C34:C37" si="8">SUM(D34:L34)</f>
        <v>2030</v>
      </c>
      <c r="D34" s="18">
        <f>D29</f>
        <v>91.25</v>
      </c>
      <c r="E34" s="18">
        <f t="shared" ref="E34:L34" si="9">E29</f>
        <v>191.25</v>
      </c>
      <c r="F34" s="18">
        <f t="shared" si="9"/>
        <v>191.25</v>
      </c>
      <c r="G34" s="18">
        <f t="shared" si="9"/>
        <v>191.25</v>
      </c>
      <c r="H34" s="18">
        <f t="shared" si="9"/>
        <v>735</v>
      </c>
      <c r="I34" s="18">
        <f t="shared" si="9"/>
        <v>210</v>
      </c>
      <c r="J34" s="18">
        <f t="shared" si="9"/>
        <v>105</v>
      </c>
      <c r="K34" s="18">
        <f t="shared" si="9"/>
        <v>210</v>
      </c>
      <c r="L34" s="18">
        <f t="shared" si="9"/>
        <v>105</v>
      </c>
    </row>
    <row r="35" spans="1:12" ht="15" customHeight="1">
      <c r="B35" s="121" t="s">
        <v>167</v>
      </c>
      <c r="C35" s="122"/>
      <c r="D35" s="123">
        <f t="shared" ref="D35:L35" si="10">(1+VLOOKUP(D21/12,$J$14:$K$19,2,FALSE))^(-D33)</f>
        <v>0.99631196727989746</v>
      </c>
      <c r="E35" s="123">
        <f t="shared" si="10"/>
        <v>0.98897665643263422</v>
      </c>
      <c r="F35" s="123">
        <f t="shared" si="10"/>
        <v>0.98169535154634824</v>
      </c>
      <c r="G35" s="123">
        <f t="shared" si="10"/>
        <v>0.97446765500410359</v>
      </c>
      <c r="H35" s="123">
        <f t="shared" si="10"/>
        <v>0.95385081269156691</v>
      </c>
      <c r="I35" s="123">
        <f t="shared" si="10"/>
        <v>0.91981111461828291</v>
      </c>
      <c r="J35" s="123">
        <f t="shared" si="10"/>
        <v>0.88356978493601701</v>
      </c>
      <c r="K35" s="123">
        <f t="shared" si="10"/>
        <v>0.84549668505199849</v>
      </c>
      <c r="L35" s="123">
        <f t="shared" si="10"/>
        <v>0.80596583771476804</v>
      </c>
    </row>
    <row r="36" spans="1:12" ht="15" customHeight="1">
      <c r="B36" s="103" t="s">
        <v>168</v>
      </c>
      <c r="C36" s="18">
        <f t="shared" si="8"/>
        <v>1903.3676531971987</v>
      </c>
      <c r="D36" s="18">
        <f>D34*D35</f>
        <v>90.913467014290646</v>
      </c>
      <c r="E36" s="18">
        <f t="shared" ref="E36:L36" si="11">E34*E35</f>
        <v>189.1417855427413</v>
      </c>
      <c r="F36" s="18">
        <f t="shared" si="11"/>
        <v>187.74923598323909</v>
      </c>
      <c r="G36" s="18">
        <f t="shared" si="11"/>
        <v>186.36693901953481</v>
      </c>
      <c r="H36" s="18">
        <f t="shared" si="11"/>
        <v>701.08034732830163</v>
      </c>
      <c r="I36" s="18">
        <f t="shared" si="11"/>
        <v>193.16033406983942</v>
      </c>
      <c r="J36" s="18">
        <f t="shared" si="11"/>
        <v>92.774827418281788</v>
      </c>
      <c r="K36" s="18">
        <f t="shared" si="11"/>
        <v>177.55430386091967</v>
      </c>
      <c r="L36" s="18">
        <f t="shared" si="11"/>
        <v>84.626412960050644</v>
      </c>
    </row>
    <row r="37" spans="1:12" ht="15" customHeight="1">
      <c r="B37" s="121" t="s">
        <v>169</v>
      </c>
      <c r="C37" s="118">
        <f t="shared" si="8"/>
        <v>197.34379626982167</v>
      </c>
      <c r="D37" s="118">
        <f>D26*D35*$E$7</f>
        <v>18.307232398768118</v>
      </c>
      <c r="E37" s="118">
        <f t="shared" ref="E37:L37" si="12">E26*E35*$E$7</f>
        <v>18.172446061949653</v>
      </c>
      <c r="F37" s="118">
        <f t="shared" si="12"/>
        <v>18.03865208466415</v>
      </c>
      <c r="G37" s="118">
        <f t="shared" si="12"/>
        <v>17.905843160700403</v>
      </c>
      <c r="H37" s="118">
        <f t="shared" si="12"/>
        <v>70.108034732830163</v>
      </c>
      <c r="I37" s="118">
        <f t="shared" si="12"/>
        <v>19.316033406983944</v>
      </c>
      <c r="J37" s="118">
        <f t="shared" si="12"/>
        <v>9.2774827418281784</v>
      </c>
      <c r="K37" s="118">
        <f t="shared" si="12"/>
        <v>17.75543038609197</v>
      </c>
      <c r="L37" s="118">
        <f t="shared" si="12"/>
        <v>8.4626412960050654</v>
      </c>
    </row>
    <row r="38" spans="1:12" ht="15" customHeight="1">
      <c r="B38" s="103" t="s">
        <v>114</v>
      </c>
      <c r="C38" s="18">
        <f>SUM(C36:C37)</f>
        <v>2100.7114494670204</v>
      </c>
      <c r="D38" s="18">
        <f t="shared" ref="D38:L38" si="13">SUM(D36:D37)</f>
        <v>109.22069941305877</v>
      </c>
      <c r="E38" s="18">
        <f t="shared" si="13"/>
        <v>207.31423160469095</v>
      </c>
      <c r="F38" s="18">
        <f t="shared" si="13"/>
        <v>205.78788806790322</v>
      </c>
      <c r="G38" s="18">
        <f t="shared" si="13"/>
        <v>204.27278218023523</v>
      </c>
      <c r="H38" s="18">
        <f t="shared" si="13"/>
        <v>771.18838206113173</v>
      </c>
      <c r="I38" s="18">
        <f t="shared" si="13"/>
        <v>212.47636747682336</v>
      </c>
      <c r="J38" s="18">
        <f t="shared" si="13"/>
        <v>102.05231016010997</v>
      </c>
      <c r="K38" s="18">
        <f t="shared" si="13"/>
        <v>195.30973424701165</v>
      </c>
      <c r="L38" s="18">
        <f t="shared" si="13"/>
        <v>93.089054256055704</v>
      </c>
    </row>
    <row r="39" spans="1:12" ht="15" customHeight="1">
      <c r="B39" s="103"/>
      <c r="C39" s="18"/>
      <c r="D39" s="18"/>
      <c r="E39" s="18"/>
      <c r="F39" s="18"/>
      <c r="G39" s="18"/>
      <c r="H39" s="18"/>
      <c r="I39" s="18"/>
      <c r="J39" s="18"/>
      <c r="K39" s="18"/>
      <c r="L39" s="18"/>
    </row>
    <row r="40" spans="1:12" ht="15" customHeight="1">
      <c r="B40" s="103"/>
      <c r="C40" s="18" t="s">
        <v>170</v>
      </c>
      <c r="D40" s="18" t="s">
        <v>171</v>
      </c>
      <c r="E40" s="18" t="s">
        <v>172</v>
      </c>
      <c r="F40" s="18" t="s">
        <v>173</v>
      </c>
      <c r="G40" s="18" t="s">
        <v>174</v>
      </c>
      <c r="H40" s="18" t="s">
        <v>175</v>
      </c>
      <c r="I40" s="18" t="s">
        <v>176</v>
      </c>
      <c r="J40" s="18"/>
      <c r="K40" s="18"/>
      <c r="L40" s="18"/>
    </row>
    <row r="41" spans="1:12" ht="15" customHeight="1">
      <c r="B41" s="103"/>
      <c r="C41" s="18" t="s">
        <v>85</v>
      </c>
      <c r="D41" s="18" t="s">
        <v>177</v>
      </c>
      <c r="E41" s="18" t="s">
        <v>178</v>
      </c>
      <c r="F41" s="18" t="s">
        <v>163</v>
      </c>
      <c r="G41" s="18" t="s">
        <v>163</v>
      </c>
      <c r="H41" s="18" t="s">
        <v>179</v>
      </c>
      <c r="I41" s="18" t="s">
        <v>85</v>
      </c>
      <c r="J41" s="18"/>
      <c r="K41" s="18"/>
      <c r="L41" s="18"/>
    </row>
    <row r="42" spans="1:12" ht="15" customHeight="1">
      <c r="B42" s="9" t="s">
        <v>180</v>
      </c>
      <c r="C42" s="18">
        <v>0</v>
      </c>
      <c r="D42" s="144">
        <f>3000-C14</f>
        <v>2900</v>
      </c>
      <c r="E42" s="18">
        <f>-C13</f>
        <v>-1500</v>
      </c>
      <c r="F42" s="18">
        <v>0</v>
      </c>
      <c r="G42" s="18">
        <v>0</v>
      </c>
      <c r="H42" s="18">
        <v>0</v>
      </c>
      <c r="I42" s="18">
        <f>SUM(C42:H42)</f>
        <v>1400</v>
      </c>
      <c r="J42" s="18"/>
      <c r="K42" s="18"/>
      <c r="L42" s="18"/>
    </row>
    <row r="43" spans="1:12" ht="15" customHeight="1">
      <c r="B43" s="117" t="s">
        <v>227</v>
      </c>
      <c r="C43" s="124"/>
      <c r="D43" s="122"/>
      <c r="E43" s="122"/>
      <c r="F43" s="122"/>
      <c r="G43" s="122"/>
      <c r="H43" s="122"/>
      <c r="I43" s="118">
        <f>C38</f>
        <v>2100.7114494670204</v>
      </c>
      <c r="J43" s="18"/>
      <c r="K43" s="18"/>
      <c r="L43" s="18"/>
    </row>
    <row r="44" spans="1:12" ht="15" customHeight="1">
      <c r="B44" s="9" t="s">
        <v>181</v>
      </c>
      <c r="C44" s="20"/>
      <c r="D44" s="20"/>
      <c r="E44" s="20"/>
      <c r="F44" s="20"/>
      <c r="G44" s="20"/>
      <c r="H44" s="20"/>
      <c r="I44" s="18">
        <f>I43-I42</f>
        <v>700.71144946702043</v>
      </c>
      <c r="J44" s="18"/>
      <c r="K44" s="18"/>
      <c r="L44" s="18"/>
    </row>
    <row r="45" spans="1:12" ht="15" customHeight="1">
      <c r="C45" s="18"/>
      <c r="D45" s="18"/>
      <c r="E45" s="18"/>
      <c r="F45" s="18"/>
      <c r="G45" s="18"/>
      <c r="H45" s="18"/>
      <c r="I45" s="18"/>
      <c r="J45" s="18"/>
    </row>
    <row r="46" spans="1:12" ht="15" customHeight="1">
      <c r="A46" s="25" t="s">
        <v>118</v>
      </c>
      <c r="C46" s="18"/>
      <c r="D46" s="18"/>
      <c r="E46" s="18"/>
      <c r="F46" s="18"/>
      <c r="G46" s="18"/>
      <c r="H46" s="18"/>
      <c r="I46" s="18"/>
      <c r="J46" s="18"/>
    </row>
    <row r="47" spans="1:12" ht="15" customHeight="1">
      <c r="C47" s="18"/>
      <c r="D47" s="18"/>
      <c r="E47" s="18"/>
      <c r="F47" s="18"/>
      <c r="G47" s="18"/>
      <c r="H47" s="18"/>
      <c r="I47" s="18"/>
      <c r="J47" s="18"/>
    </row>
    <row r="48" spans="1:12" ht="15" customHeight="1">
      <c r="A48" s="13" t="s">
        <v>119</v>
      </c>
      <c r="B48" s="13" t="s">
        <v>85</v>
      </c>
      <c r="C48" s="18">
        <f>C38</f>
        <v>2100.7114494670204</v>
      </c>
      <c r="D48" s="18"/>
      <c r="E48" s="18"/>
      <c r="F48" s="18"/>
      <c r="G48" s="18"/>
      <c r="H48" s="18"/>
      <c r="I48" s="18"/>
      <c r="J48" s="18"/>
    </row>
    <row r="49" spans="1:14" ht="15" customHeight="1">
      <c r="C49" s="18"/>
      <c r="D49" s="18"/>
      <c r="E49" s="18"/>
      <c r="F49" s="18"/>
      <c r="G49" s="18"/>
      <c r="H49" s="18"/>
      <c r="I49" s="18"/>
      <c r="J49" s="18"/>
    </row>
    <row r="50" spans="1:14" ht="15" customHeight="1">
      <c r="A50" s="13" t="s">
        <v>120</v>
      </c>
      <c r="B50" s="13" t="s">
        <v>121</v>
      </c>
      <c r="C50" s="18">
        <f>SUM(D50:L50)</f>
        <v>1900.0051780963031</v>
      </c>
      <c r="D50" s="18">
        <f>(1+VLOOKUP(D21/12,$J$14:$K$19,2,FALSE)+$N$50)^(-D33)*D34</f>
        <v>90.902439847811593</v>
      </c>
      <c r="E50" s="18">
        <f t="shared" ref="E50:L50" si="14">(1+VLOOKUP(E21/12,$J$14:$K$19,2,FALSE)+$N$50)^(-E33)*E34</f>
        <v>189.07296917079449</v>
      </c>
      <c r="F50" s="18">
        <f t="shared" si="14"/>
        <v>187.63540026811231</v>
      </c>
      <c r="G50" s="18">
        <f t="shared" si="14"/>
        <v>186.20876156004766</v>
      </c>
      <c r="H50" s="18">
        <f t="shared" si="14"/>
        <v>700.06256807031889</v>
      </c>
      <c r="I50" s="18">
        <f t="shared" si="14"/>
        <v>192.69410125497075</v>
      </c>
      <c r="J50" s="18">
        <f t="shared" si="14"/>
        <v>92.462078453112653</v>
      </c>
      <c r="K50" s="18">
        <f t="shared" si="14"/>
        <v>176.78659482272863</v>
      </c>
      <c r="L50" s="18">
        <f t="shared" si="14"/>
        <v>84.180264648406251</v>
      </c>
      <c r="N50" s="143">
        <v>1E-3</v>
      </c>
    </row>
    <row r="51" spans="1:14" ht="15" customHeight="1">
      <c r="B51" s="119" t="s">
        <v>115</v>
      </c>
      <c r="C51" s="118">
        <f>SUM(D51:L51)</f>
        <v>197.00776752383376</v>
      </c>
      <c r="D51" s="118">
        <f>(1+VLOOKUP(D21/12,$J$14:$K$19,2,FALSE)+$N$50)^(-D33)*D26*$E$7</f>
        <v>18.3050118597648</v>
      </c>
      <c r="E51" s="118">
        <f t="shared" ref="E51:L51" si="15">(1+VLOOKUP(E21/12,$J$14:$K$19,2,FALSE)+$N$50)^(-E33)*E26*$E$7</f>
        <v>18.165834292880259</v>
      </c>
      <c r="F51" s="118">
        <f t="shared" si="15"/>
        <v>18.027714927720595</v>
      </c>
      <c r="G51" s="118">
        <f t="shared" si="15"/>
        <v>17.890645718514385</v>
      </c>
      <c r="H51" s="118">
        <f t="shared" si="15"/>
        <v>70.006256807031889</v>
      </c>
      <c r="I51" s="118">
        <f t="shared" si="15"/>
        <v>19.269410125497075</v>
      </c>
      <c r="J51" s="118">
        <f t="shared" si="15"/>
        <v>9.2462078453112664</v>
      </c>
      <c r="K51" s="118">
        <f t="shared" si="15"/>
        <v>17.678659482272863</v>
      </c>
      <c r="L51" s="118">
        <f t="shared" si="15"/>
        <v>8.4180264648406258</v>
      </c>
    </row>
    <row r="52" spans="1:14" ht="15" customHeight="1">
      <c r="B52" s="13" t="s">
        <v>216</v>
      </c>
      <c r="C52" s="18">
        <f>SUM(C50:C51)</f>
        <v>2097.0129456201366</v>
      </c>
      <c r="D52" s="20"/>
      <c r="E52" s="20"/>
      <c r="F52" s="20"/>
      <c r="G52" s="20"/>
      <c r="H52" s="20"/>
      <c r="I52" s="21"/>
      <c r="J52" s="20"/>
      <c r="K52" s="20"/>
      <c r="L52" s="20"/>
    </row>
    <row r="54" spans="1:14" ht="15" customHeight="1">
      <c r="A54" s="13" t="s">
        <v>123</v>
      </c>
      <c r="B54" s="13" t="s">
        <v>121</v>
      </c>
      <c r="C54" s="18">
        <f>SUM(D54:L54)</f>
        <v>1906.7429867954145</v>
      </c>
      <c r="D54" s="18">
        <f>(1+VLOOKUP(D21/12,$J$14:$K$19,2,FALSE)-$N$50)^(-D33)*D34</f>
        <v>90.924506231587856</v>
      </c>
      <c r="E54" s="18">
        <f t="shared" ref="E54:L54" si="16">(1+VLOOKUP(E21/12,$J$14:$K$19,2,FALSE)-$N$50)^(-E33)*E34</f>
        <v>189.21069384257441</v>
      </c>
      <c r="F54" s="18">
        <f t="shared" si="16"/>
        <v>187.86325143534424</v>
      </c>
      <c r="G54" s="18">
        <f t="shared" si="16"/>
        <v>186.52540468575859</v>
      </c>
      <c r="H54" s="18">
        <f t="shared" si="16"/>
        <v>702.10059512647001</v>
      </c>
      <c r="I54" s="18">
        <f t="shared" si="16"/>
        <v>193.62814771686311</v>
      </c>
      <c r="J54" s="18">
        <f t="shared" si="16"/>
        <v>93.088937804333611</v>
      </c>
      <c r="K54" s="18">
        <f t="shared" si="16"/>
        <v>178.32609151998565</v>
      </c>
      <c r="L54" s="18">
        <f t="shared" si="16"/>
        <v>85.075358432496841</v>
      </c>
    </row>
    <row r="55" spans="1:14" ht="15" customHeight="1">
      <c r="B55" s="119" t="s">
        <v>115</v>
      </c>
      <c r="C55" s="118">
        <f t="shared" ref="C55" si="17">SUM(D55:L55)</f>
        <v>197.68110989155636</v>
      </c>
      <c r="D55" s="118">
        <f>(1+VLOOKUP(D21/12,$J$14:$K$19,2,FALSE)-$N$50)^(-D33)*D26*$E$7</f>
        <v>18.309455364443036</v>
      </c>
      <c r="E55" s="118">
        <f t="shared" ref="E55:L55" si="18">(1+VLOOKUP(E21/12,$J$14:$K$19,2,FALSE)-$N$50)^(-E33)*E26*$E$7</f>
        <v>18.17906666330617</v>
      </c>
      <c r="F55" s="118">
        <f t="shared" si="18"/>
        <v>18.049606510454645</v>
      </c>
      <c r="G55" s="118">
        <f t="shared" si="18"/>
        <v>17.921068293337594</v>
      </c>
      <c r="H55" s="118">
        <f t="shared" si="18"/>
        <v>70.210059512647007</v>
      </c>
      <c r="I55" s="118">
        <f t="shared" si="18"/>
        <v>19.362814771686313</v>
      </c>
      <c r="J55" s="118">
        <f t="shared" si="18"/>
        <v>9.3088937804333618</v>
      </c>
      <c r="K55" s="118">
        <f t="shared" si="18"/>
        <v>17.832609151998565</v>
      </c>
      <c r="L55" s="118">
        <f t="shared" si="18"/>
        <v>8.5075358432496841</v>
      </c>
      <c r="M55" s="4"/>
    </row>
    <row r="56" spans="1:14" ht="15" customHeight="1">
      <c r="B56" s="13" t="s">
        <v>217</v>
      </c>
      <c r="C56" s="18">
        <f>SUM(C54:C55)</f>
        <v>2104.4240966869706</v>
      </c>
      <c r="D56" s="20"/>
      <c r="E56" s="20"/>
      <c r="F56" s="20"/>
      <c r="G56" s="20"/>
      <c r="H56" s="20"/>
      <c r="I56" s="21"/>
      <c r="J56" s="20"/>
      <c r="K56" s="20"/>
      <c r="L56" s="20"/>
    </row>
    <row r="57" spans="1:14" ht="15" customHeight="1">
      <c r="J57" s="3"/>
      <c r="K57" s="4"/>
      <c r="L57" s="4"/>
    </row>
    <row r="58" spans="1:14" ht="15" customHeight="1">
      <c r="B58" s="10" t="s">
        <v>125</v>
      </c>
      <c r="C58" s="23">
        <f>(C56-C52)/(C48*2*$N$50)</f>
        <v>1.7639621730805342</v>
      </c>
      <c r="D58" s="14" t="s">
        <v>126</v>
      </c>
      <c r="J58" s="3"/>
      <c r="K58" s="4"/>
      <c r="L58" s="4"/>
    </row>
    <row r="59" spans="1:14" ht="15" customHeight="1">
      <c r="B59" s="10"/>
      <c r="C59" s="22"/>
      <c r="D59" s="14"/>
      <c r="J59" s="3"/>
      <c r="K59" s="4"/>
      <c r="L59" s="4"/>
    </row>
    <row r="60" spans="1:14" ht="15" customHeight="1">
      <c r="A60" s="25" t="s">
        <v>127</v>
      </c>
      <c r="B60" s="10"/>
      <c r="C60" s="22"/>
      <c r="D60" s="14"/>
      <c r="J60" s="3"/>
      <c r="K60" s="4"/>
      <c r="L60" s="4"/>
    </row>
    <row r="61" spans="1:14" ht="15" customHeight="1">
      <c r="B61" s="10"/>
      <c r="C61" s="22"/>
      <c r="D61" s="179" t="s">
        <v>165</v>
      </c>
      <c r="J61" s="3"/>
      <c r="K61" s="4"/>
      <c r="L61" s="4"/>
    </row>
    <row r="62" spans="1:14" ht="15" customHeight="1">
      <c r="B62" s="145"/>
      <c r="C62" s="13" t="s">
        <v>92</v>
      </c>
      <c r="D62" s="106">
        <f>D33</f>
        <v>0.125</v>
      </c>
      <c r="E62" s="13">
        <f t="shared" ref="E62:L62" si="19">E33</f>
        <v>0.375</v>
      </c>
      <c r="F62" s="13">
        <f t="shared" si="19"/>
        <v>0.625</v>
      </c>
      <c r="G62" s="13">
        <f t="shared" si="19"/>
        <v>0.875</v>
      </c>
      <c r="H62" s="13">
        <f t="shared" si="19"/>
        <v>1.5</v>
      </c>
      <c r="I62" s="13">
        <f t="shared" si="19"/>
        <v>2.5</v>
      </c>
      <c r="J62" s="13">
        <f t="shared" si="19"/>
        <v>3.5</v>
      </c>
      <c r="K62" s="13">
        <f t="shared" si="19"/>
        <v>4.5</v>
      </c>
      <c r="L62" s="13">
        <f t="shared" si="19"/>
        <v>5.5</v>
      </c>
    </row>
    <row r="63" spans="1:14" ht="15" customHeight="1">
      <c r="B63" s="145" t="s">
        <v>128</v>
      </c>
      <c r="C63" s="18">
        <f>SUM(D63:L63)</f>
        <v>2240</v>
      </c>
      <c r="D63" s="107">
        <f>D29+D26*$E$7</f>
        <v>109.625</v>
      </c>
      <c r="E63" s="18">
        <f t="shared" ref="E63:L63" si="20">E29+E26*$E$7</f>
        <v>209.625</v>
      </c>
      <c r="F63" s="18">
        <f t="shared" si="20"/>
        <v>209.625</v>
      </c>
      <c r="G63" s="18">
        <f t="shared" si="20"/>
        <v>209.625</v>
      </c>
      <c r="H63" s="18">
        <f t="shared" si="20"/>
        <v>808.5</v>
      </c>
      <c r="I63" s="18">
        <f t="shared" si="20"/>
        <v>231</v>
      </c>
      <c r="J63" s="18">
        <f t="shared" si="20"/>
        <v>115.5</v>
      </c>
      <c r="K63" s="18">
        <f t="shared" si="20"/>
        <v>231</v>
      </c>
      <c r="L63" s="18">
        <f t="shared" si="20"/>
        <v>115.5</v>
      </c>
    </row>
    <row r="64" spans="1:14" ht="15" customHeight="1">
      <c r="B64" s="145" t="s">
        <v>129</v>
      </c>
      <c r="C64" s="18">
        <f>SUM(D64:L64)</f>
        <v>2100.7114494670204</v>
      </c>
      <c r="D64" s="107">
        <f>D38</f>
        <v>109.22069941305877</v>
      </c>
      <c r="E64" s="18">
        <f t="shared" ref="E64:L64" si="21">E38</f>
        <v>207.31423160469095</v>
      </c>
      <c r="F64" s="18">
        <f t="shared" si="21"/>
        <v>205.78788806790322</v>
      </c>
      <c r="G64" s="18">
        <f t="shared" si="21"/>
        <v>204.27278218023523</v>
      </c>
      <c r="H64" s="18">
        <f t="shared" si="21"/>
        <v>771.18838206113173</v>
      </c>
      <c r="I64" s="18">
        <f t="shared" si="21"/>
        <v>212.47636747682336</v>
      </c>
      <c r="J64" s="18">
        <f t="shared" si="21"/>
        <v>102.05231016010997</v>
      </c>
      <c r="K64" s="18">
        <f t="shared" si="21"/>
        <v>195.30973424701165</v>
      </c>
      <c r="L64" s="18">
        <f t="shared" si="21"/>
        <v>93.089054256055704</v>
      </c>
    </row>
    <row r="65" spans="2:12" ht="15" customHeight="1">
      <c r="B65" s="145" t="s">
        <v>100</v>
      </c>
      <c r="C65" s="21"/>
      <c r="D65" s="108">
        <v>0.03</v>
      </c>
      <c r="E65" s="19">
        <v>0.03</v>
      </c>
      <c r="F65" s="19">
        <v>0.03</v>
      </c>
      <c r="G65" s="19">
        <v>0.03</v>
      </c>
      <c r="H65" s="19">
        <v>3.2000000000000001E-2</v>
      </c>
      <c r="I65" s="19">
        <v>3.4000000000000002E-2</v>
      </c>
      <c r="J65" s="19">
        <v>3.6000000000000004E-2</v>
      </c>
      <c r="K65" s="19">
        <v>3.8000000000000006E-2</v>
      </c>
      <c r="L65" s="19">
        <v>4.0000000000000008E-2</v>
      </c>
    </row>
    <row r="66" spans="2:12" ht="15" customHeight="1">
      <c r="B66" s="10"/>
      <c r="D66" s="13"/>
      <c r="E66" s="13"/>
      <c r="F66" s="13"/>
      <c r="G66" s="13"/>
      <c r="H66" s="13"/>
      <c r="I66" s="13"/>
      <c r="J66" s="13"/>
      <c r="K66" s="13"/>
    </row>
    <row r="67" spans="2:12" ht="15" customHeight="1">
      <c r="B67" s="149" t="s">
        <v>130</v>
      </c>
      <c r="C67" s="137"/>
      <c r="D67" s="13"/>
      <c r="E67" s="13"/>
      <c r="F67" s="13"/>
      <c r="G67" s="13"/>
      <c r="H67" s="13"/>
      <c r="I67" s="13"/>
      <c r="J67" s="13"/>
      <c r="K67" s="13"/>
    </row>
    <row r="68" spans="2:12" ht="15" customHeight="1">
      <c r="B68" s="10" t="s">
        <v>131</v>
      </c>
      <c r="C68" s="137">
        <f>XIRR(C78:L78,C77:L77)</f>
        <v>3.4922894835472104E-2</v>
      </c>
      <c r="D68" s="13"/>
      <c r="E68" s="13"/>
      <c r="F68" s="13"/>
      <c r="G68" s="13"/>
      <c r="H68" s="13"/>
      <c r="I68" s="13"/>
      <c r="J68" s="13"/>
      <c r="K68" s="13"/>
    </row>
    <row r="69" spans="2:12" ht="15" customHeight="1">
      <c r="B69" s="10" t="s">
        <v>132</v>
      </c>
      <c r="C69" s="137">
        <f>SUMPRODUCT($D$65:$L$65,$D$62:$L$62,D63:L63)/SUMPRODUCT($D$62:$L$62,D63:L63)</f>
        <v>3.5105121608980355E-2</v>
      </c>
      <c r="D69" s="13"/>
      <c r="E69" s="13"/>
      <c r="F69" s="13"/>
      <c r="G69" s="13"/>
      <c r="H69" s="13"/>
      <c r="I69" s="13"/>
      <c r="J69" s="13"/>
      <c r="K69" s="13"/>
    </row>
    <row r="70" spans="2:12" ht="15" customHeight="1">
      <c r="B70" s="10" t="s">
        <v>133</v>
      </c>
      <c r="C70" s="137">
        <f>SUMPRODUCT($D$65:$L$65,$D$62:$L$62,D64:L64)/SUMPRODUCT($D$62:$L$62,D64:L64)</f>
        <v>3.4884874362398163E-2</v>
      </c>
      <c r="D70" s="13"/>
      <c r="E70" s="13"/>
      <c r="F70" s="13"/>
      <c r="G70" s="13"/>
      <c r="H70" s="13"/>
      <c r="I70" s="13"/>
      <c r="J70" s="13"/>
      <c r="K70" s="4"/>
    </row>
    <row r="71" spans="2:12" ht="15" customHeight="1">
      <c r="B71" s="10" t="s">
        <v>134</v>
      </c>
      <c r="C71" s="150">
        <f>C68</f>
        <v>3.4922894835472104E-2</v>
      </c>
      <c r="D71" s="13"/>
      <c r="E71" s="13"/>
      <c r="F71" s="13"/>
      <c r="G71" s="13"/>
      <c r="H71" s="13"/>
      <c r="I71" s="13"/>
      <c r="J71" s="13"/>
      <c r="K71" s="4"/>
    </row>
    <row r="72" spans="2:12" ht="15" customHeight="1">
      <c r="B72" s="10"/>
      <c r="C72" s="138"/>
      <c r="D72" s="13"/>
      <c r="E72" s="13"/>
      <c r="F72" s="13"/>
      <c r="G72" s="13"/>
      <c r="H72" s="13"/>
      <c r="I72" s="13"/>
      <c r="J72" s="13"/>
      <c r="K72" s="4"/>
    </row>
    <row r="73" spans="2:12" ht="15" customHeight="1">
      <c r="B73" s="10" t="s">
        <v>224</v>
      </c>
      <c r="C73" s="23">
        <f>SUMPRODUCT(D64:L64,D62:L62)/SUM(C64)</f>
        <v>1.8254728509074751</v>
      </c>
      <c r="D73" s="13"/>
      <c r="E73" s="13"/>
      <c r="F73" s="13"/>
      <c r="G73" s="13"/>
      <c r="H73" s="13"/>
      <c r="I73" s="13"/>
      <c r="J73" s="13"/>
      <c r="K73" s="4"/>
    </row>
    <row r="74" spans="2:12" ht="15" customHeight="1">
      <c r="B74" s="10" t="s">
        <v>135</v>
      </c>
      <c r="C74" s="23">
        <f>C73/(1+C71)</f>
        <v>1.7638732895146567</v>
      </c>
    </row>
    <row r="75" spans="2:12" ht="15" customHeight="1">
      <c r="B75" s="10" t="s">
        <v>234</v>
      </c>
      <c r="C75" s="23" cm="1">
        <f t="array" ref="C75">SUMPRODUCT(D64:L64,D62:L62,1/(1+D65:L65))/C64</f>
        <v>1.7639560912583787</v>
      </c>
      <c r="D75" s="11"/>
      <c r="E75" s="11"/>
      <c r="F75" s="11"/>
      <c r="G75" s="11"/>
      <c r="H75" s="11"/>
      <c r="I75" s="11"/>
      <c r="J75" s="11"/>
      <c r="K75" s="11"/>
      <c r="L75" s="11"/>
    </row>
    <row r="77" spans="2:12" ht="15" customHeight="1">
      <c r="C77" s="141">
        <v>44926</v>
      </c>
      <c r="D77" s="139">
        <f>$C$77+D62*365</f>
        <v>44971.625</v>
      </c>
      <c r="E77" s="139">
        <f t="shared" ref="E77:K77" si="22">$C$77+E62*365</f>
        <v>45062.875</v>
      </c>
      <c r="F77" s="139">
        <f t="shared" si="22"/>
        <v>45154.125</v>
      </c>
      <c r="G77" s="139">
        <f t="shared" si="22"/>
        <v>45245.375</v>
      </c>
      <c r="H77" s="139">
        <f t="shared" si="22"/>
        <v>45473.5</v>
      </c>
      <c r="I77" s="139">
        <f t="shared" si="22"/>
        <v>45838.5</v>
      </c>
      <c r="J77" s="139">
        <f t="shared" si="22"/>
        <v>46203.5</v>
      </c>
      <c r="K77" s="139">
        <f t="shared" si="22"/>
        <v>46568.5</v>
      </c>
      <c r="L77" s="139">
        <f t="shared" ref="L77" si="23">$C$77+L62*365</f>
        <v>46933.5</v>
      </c>
    </row>
    <row r="78" spans="2:12" ht="15" customHeight="1">
      <c r="C78" s="18">
        <f>-C64</f>
        <v>-2100.7114494670204</v>
      </c>
      <c r="D78" s="18">
        <f t="shared" ref="D78:K78" si="24">D63</f>
        <v>109.625</v>
      </c>
      <c r="E78" s="18">
        <f t="shared" si="24"/>
        <v>209.625</v>
      </c>
      <c r="F78" s="18">
        <f t="shared" si="24"/>
        <v>209.625</v>
      </c>
      <c r="G78" s="18">
        <f t="shared" si="24"/>
        <v>209.625</v>
      </c>
      <c r="H78" s="18">
        <f t="shared" si="24"/>
        <v>808.5</v>
      </c>
      <c r="I78" s="18">
        <f t="shared" si="24"/>
        <v>231</v>
      </c>
      <c r="J78" s="18">
        <f t="shared" si="24"/>
        <v>115.5</v>
      </c>
      <c r="K78" s="18">
        <f t="shared" si="24"/>
        <v>231</v>
      </c>
      <c r="L78" s="18">
        <f t="shared" ref="L78" si="25">L63</f>
        <v>115.5</v>
      </c>
    </row>
  </sheetData>
  <mergeCells count="2">
    <mergeCell ref="D23:L23"/>
    <mergeCell ref="D32:L32"/>
  </mergeCells>
  <printOptions horizontalCentered="1"/>
  <pageMargins left="0.5" right="0.39370078740157499" top="0.59055118110236204" bottom="0.74803149606299202" header="0.31496062992126" footer="0.31496062992126"/>
  <pageSetup scale="62" fitToHeight="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79998168889431442"/>
  </sheetPr>
  <dimension ref="A1:L35"/>
  <sheetViews>
    <sheetView zoomScale="85" zoomScaleNormal="85" workbookViewId="0">
      <selection activeCell="B47" sqref="B47"/>
    </sheetView>
  </sheetViews>
  <sheetFormatPr defaultColWidth="9.140625" defaultRowHeight="15" customHeight="1"/>
  <cols>
    <col min="1" max="1" width="6.7109375" style="2" customWidth="1"/>
    <col min="2" max="2" width="25.7109375" style="2" customWidth="1"/>
    <col min="3" max="3" width="11.7109375" style="2" customWidth="1"/>
    <col min="4" max="11" width="10.7109375" style="2" customWidth="1"/>
    <col min="12" max="12" width="3.140625" style="2" customWidth="1"/>
    <col min="13" max="21" width="11.7109375" style="2" customWidth="1"/>
    <col min="22" max="16384" width="9.140625" style="2"/>
  </cols>
  <sheetData>
    <row r="1" spans="1:12" ht="15" customHeight="1">
      <c r="A1" s="1" t="s">
        <v>182</v>
      </c>
      <c r="K1" s="3" t="s">
        <v>0</v>
      </c>
      <c r="L1" s="4" t="s">
        <v>146</v>
      </c>
    </row>
    <row r="2" spans="1:12" ht="15" customHeight="1">
      <c r="K2" s="3" t="s">
        <v>2</v>
      </c>
      <c r="L2" s="4">
        <v>2</v>
      </c>
    </row>
    <row r="3" spans="1:12" ht="15" customHeight="1">
      <c r="B3" s="5" t="s">
        <v>94</v>
      </c>
      <c r="I3" s="6"/>
      <c r="J3" s="6"/>
    </row>
    <row r="4" spans="1:12" ht="15" customHeight="1">
      <c r="B4" s="2" t="s">
        <v>183</v>
      </c>
      <c r="I4" s="6"/>
      <c r="J4" s="6"/>
    </row>
    <row r="5" spans="1:12" ht="15" customHeight="1">
      <c r="B5" s="2" t="s">
        <v>148</v>
      </c>
      <c r="I5" s="6"/>
      <c r="J5" s="6"/>
    </row>
    <row r="6" spans="1:12" ht="15" customHeight="1">
      <c r="B6" s="2" t="s">
        <v>149</v>
      </c>
      <c r="I6" s="6"/>
      <c r="J6" s="6"/>
    </row>
    <row r="7" spans="1:12" ht="15" customHeight="1">
      <c r="B7" s="2" t="s">
        <v>150</v>
      </c>
      <c r="I7" s="6"/>
      <c r="J7" s="6"/>
    </row>
    <row r="8" spans="1:12" ht="15" customHeight="1">
      <c r="B8" s="2" t="s">
        <v>184</v>
      </c>
      <c r="E8" s="102"/>
      <c r="I8" s="6"/>
      <c r="J8" s="6"/>
    </row>
    <row r="9" spans="1:12" ht="15" customHeight="1">
      <c r="I9" s="6"/>
      <c r="J9" s="6"/>
    </row>
    <row r="11" spans="1:12" ht="15" customHeight="1">
      <c r="B11" s="1" t="s">
        <v>185</v>
      </c>
    </row>
    <row r="12" spans="1:12" ht="15" customHeight="1">
      <c r="B12" s="103"/>
      <c r="C12" s="18"/>
      <c r="D12" s="18"/>
      <c r="E12" s="18"/>
      <c r="F12" s="18"/>
      <c r="G12" s="18"/>
      <c r="H12" s="18"/>
      <c r="I12" s="18"/>
      <c r="J12" s="18"/>
      <c r="K12" s="18"/>
    </row>
    <row r="13" spans="1:12" ht="15" customHeight="1">
      <c r="B13" s="103"/>
      <c r="C13" s="18" t="s">
        <v>170</v>
      </c>
      <c r="D13" s="18" t="s">
        <v>171</v>
      </c>
      <c r="E13" s="18" t="s">
        <v>172</v>
      </c>
      <c r="F13" s="18" t="s">
        <v>173</v>
      </c>
      <c r="G13" s="18" t="s">
        <v>174</v>
      </c>
      <c r="H13" s="18" t="s">
        <v>175</v>
      </c>
      <c r="I13" s="18" t="s">
        <v>176</v>
      </c>
      <c r="J13" s="18" t="s">
        <v>82</v>
      </c>
      <c r="K13" s="18"/>
    </row>
    <row r="14" spans="1:12" ht="15" customHeight="1">
      <c r="B14" s="103"/>
      <c r="C14" s="18" t="s">
        <v>85</v>
      </c>
      <c r="D14" s="18" t="s">
        <v>177</v>
      </c>
      <c r="E14" s="18" t="s">
        <v>178</v>
      </c>
      <c r="F14" s="18" t="s">
        <v>163</v>
      </c>
      <c r="G14" s="18" t="s">
        <v>163</v>
      </c>
      <c r="H14" s="18" t="s">
        <v>179</v>
      </c>
      <c r="I14" s="18" t="s">
        <v>85</v>
      </c>
      <c r="J14" s="18" t="s">
        <v>86</v>
      </c>
      <c r="K14" s="18"/>
    </row>
    <row r="15" spans="1:12" ht="15" customHeight="1">
      <c r="B15" s="9" t="s">
        <v>180</v>
      </c>
      <c r="C15" s="18">
        <v>0</v>
      </c>
      <c r="D15" s="18">
        <f>3000-'App C Sh1 - LRC(onerous)'!C14</f>
        <v>2900</v>
      </c>
      <c r="E15" s="18">
        <f>-'App C Sh1 - LRC(onerous)'!C13</f>
        <v>-1500</v>
      </c>
      <c r="F15" s="18">
        <v>0</v>
      </c>
      <c r="G15" s="18">
        <v>0</v>
      </c>
      <c r="H15" s="18">
        <v>0</v>
      </c>
      <c r="I15" s="18">
        <f>SUM(C15:H15)</f>
        <v>1400</v>
      </c>
      <c r="J15" s="162">
        <v>0</v>
      </c>
      <c r="K15" s="18"/>
    </row>
    <row r="16" spans="1:12" ht="15" customHeight="1">
      <c r="B16" s="9" t="s">
        <v>227</v>
      </c>
      <c r="C16" s="113"/>
      <c r="D16" s="20"/>
      <c r="E16" s="20"/>
      <c r="F16" s="20"/>
      <c r="G16" s="20"/>
      <c r="H16" s="20"/>
      <c r="I16" s="20"/>
      <c r="J16" s="20"/>
      <c r="K16" s="18"/>
    </row>
    <row r="17" spans="1:12" ht="15" customHeight="1">
      <c r="B17" s="117" t="s">
        <v>181</v>
      </c>
      <c r="C17" s="122"/>
      <c r="D17" s="122"/>
      <c r="E17" s="122"/>
      <c r="F17" s="122"/>
      <c r="G17" s="122"/>
      <c r="H17" s="122"/>
      <c r="I17" s="118">
        <v>0</v>
      </c>
      <c r="J17" s="162">
        <v>0</v>
      </c>
      <c r="K17" s="18"/>
    </row>
    <row r="18" spans="1:12" ht="15" customHeight="1">
      <c r="B18" s="163" t="s">
        <v>225</v>
      </c>
      <c r="C18" s="164"/>
      <c r="D18" s="164"/>
      <c r="E18" s="164"/>
      <c r="F18" s="164"/>
      <c r="G18" s="164"/>
      <c r="H18" s="164"/>
      <c r="I18" s="164">
        <f>SUM(I15:I17)</f>
        <v>1400</v>
      </c>
      <c r="J18" s="178">
        <f>(I15*J15+I17*J17)/I18</f>
        <v>0</v>
      </c>
      <c r="K18" s="18"/>
    </row>
    <row r="19" spans="1:12" ht="15" customHeight="1">
      <c r="C19" s="18"/>
      <c r="D19" s="18"/>
      <c r="E19" s="18"/>
      <c r="F19" s="18"/>
      <c r="G19" s="18"/>
      <c r="H19" s="18"/>
      <c r="I19" s="18"/>
      <c r="J19" s="18"/>
    </row>
    <row r="20" spans="1:12" ht="15" customHeight="1">
      <c r="A20" s="25"/>
      <c r="C20" s="18"/>
      <c r="D20" s="18"/>
      <c r="E20" s="18"/>
      <c r="F20" s="18"/>
      <c r="G20" s="18"/>
      <c r="H20" s="18"/>
      <c r="I20" s="18"/>
      <c r="J20" s="18"/>
    </row>
    <row r="21" spans="1:12" ht="15" customHeight="1">
      <c r="J21" s="3"/>
      <c r="K21" s="4"/>
    </row>
    <row r="22" spans="1:12" ht="15" customHeight="1">
      <c r="B22" s="10"/>
      <c r="C22" s="24"/>
      <c r="D22" s="14"/>
      <c r="J22" s="3"/>
      <c r="K22" s="4"/>
    </row>
    <row r="23" spans="1:12" ht="15" customHeight="1">
      <c r="B23" s="10"/>
      <c r="C23" s="24"/>
      <c r="D23" s="14"/>
      <c r="J23" s="3"/>
      <c r="K23" s="4"/>
    </row>
    <row r="24" spans="1:12" ht="15" customHeight="1">
      <c r="B24" s="10"/>
      <c r="C24" s="22"/>
      <c r="D24" s="14"/>
      <c r="J24" s="3"/>
      <c r="K24" s="4"/>
    </row>
    <row r="25" spans="1:12" ht="15" customHeight="1">
      <c r="A25" s="25"/>
      <c r="B25" s="10"/>
      <c r="C25" s="22"/>
      <c r="D25" s="14"/>
      <c r="J25" s="3"/>
      <c r="K25" s="4"/>
    </row>
    <row r="26" spans="1:12" ht="15" customHeight="1">
      <c r="B26" s="10"/>
      <c r="C26" s="22"/>
      <c r="D26" s="13"/>
      <c r="E26" s="13"/>
      <c r="F26" s="13"/>
      <c r="G26" s="13"/>
      <c r="H26" s="13"/>
      <c r="I26" s="13"/>
      <c r="J26" s="13"/>
      <c r="K26" s="4"/>
    </row>
    <row r="27" spans="1:12" ht="15" customHeight="1">
      <c r="B27" s="10"/>
      <c r="C27" s="24"/>
      <c r="D27" s="13"/>
      <c r="E27" s="13"/>
      <c r="F27" s="13"/>
      <c r="G27" s="13"/>
      <c r="H27" s="13"/>
      <c r="I27" s="13"/>
      <c r="J27" s="13"/>
      <c r="K27" s="4"/>
    </row>
    <row r="28" spans="1:12" ht="15" customHeight="1">
      <c r="B28" s="10"/>
      <c r="C28" s="24"/>
    </row>
    <row r="29" spans="1:12" ht="15" customHeight="1"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1" spans="1:12" ht="15" customHeight="1">
      <c r="A31" s="1" t="s">
        <v>78</v>
      </c>
    </row>
    <row r="32" spans="1:12" ht="15" customHeight="1">
      <c r="B32" s="2" t="s">
        <v>186</v>
      </c>
    </row>
    <row r="35" spans="10:11" ht="15" customHeight="1">
      <c r="J35" s="2" t="s">
        <v>144</v>
      </c>
      <c r="K35" s="2" t="s">
        <v>144</v>
      </c>
    </row>
  </sheetData>
  <printOptions horizontalCentered="1"/>
  <pageMargins left="0.5" right="0.39370078740157499" top="0.59055118110236204" bottom="0.74803149606299202" header="0.31496062992126" footer="0.31496062992126"/>
  <pageSetup scale="66" fitToHeight="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L35"/>
  <sheetViews>
    <sheetView zoomScale="115" zoomScaleNormal="115" workbookViewId="0">
      <selection activeCell="A32" sqref="A32"/>
    </sheetView>
  </sheetViews>
  <sheetFormatPr defaultColWidth="9.140625" defaultRowHeight="15" customHeight="1"/>
  <cols>
    <col min="1" max="1" width="6.7109375" style="2" customWidth="1"/>
    <col min="2" max="2" width="25.7109375" style="2" customWidth="1"/>
    <col min="3" max="3" width="11.7109375" style="2" customWidth="1"/>
    <col min="4" max="11" width="10.7109375" style="2" customWidth="1"/>
    <col min="12" max="12" width="3.140625" style="2" customWidth="1"/>
    <col min="13" max="21" width="11.7109375" style="2" customWidth="1"/>
    <col min="22" max="16384" width="9.140625" style="2"/>
  </cols>
  <sheetData>
    <row r="1" spans="1:12" ht="15" customHeight="1">
      <c r="A1" s="1" t="s">
        <v>187</v>
      </c>
      <c r="K1" s="3" t="s">
        <v>0</v>
      </c>
      <c r="L1" s="4" t="s">
        <v>146</v>
      </c>
    </row>
    <row r="2" spans="1:12" ht="15" customHeight="1">
      <c r="K2" s="3" t="s">
        <v>2</v>
      </c>
      <c r="L2" s="4">
        <v>3</v>
      </c>
    </row>
    <row r="3" spans="1:12" ht="15" customHeight="1">
      <c r="B3" s="5" t="s">
        <v>188</v>
      </c>
      <c r="I3" s="6"/>
      <c r="J3" s="6"/>
    </row>
    <row r="4" spans="1:12" ht="15" customHeight="1">
      <c r="B4" s="2" t="s">
        <v>189</v>
      </c>
      <c r="I4" s="6"/>
      <c r="J4" s="6"/>
    </row>
    <row r="5" spans="1:12" ht="15" customHeight="1">
      <c r="B5" s="2" t="s">
        <v>190</v>
      </c>
      <c r="I5" s="6"/>
      <c r="J5" s="6"/>
    </row>
    <row r="6" spans="1:12" ht="15" customHeight="1">
      <c r="B6" s="2" t="s">
        <v>191</v>
      </c>
      <c r="I6" s="6"/>
      <c r="J6" s="6"/>
    </row>
    <row r="7" spans="1:12" ht="15" customHeight="1">
      <c r="B7" s="2" t="s">
        <v>150</v>
      </c>
      <c r="I7" s="6"/>
      <c r="J7" s="6"/>
    </row>
    <row r="8" spans="1:12" ht="15" customHeight="1">
      <c r="B8" s="161" t="s">
        <v>221</v>
      </c>
      <c r="E8" s="102"/>
      <c r="I8" s="6"/>
      <c r="J8" s="6"/>
    </row>
    <row r="9" spans="1:12" ht="15" customHeight="1">
      <c r="I9" s="6"/>
      <c r="J9" s="6"/>
    </row>
    <row r="11" spans="1:12" ht="15" customHeight="1">
      <c r="B11" s="1" t="s">
        <v>222</v>
      </c>
    </row>
    <row r="12" spans="1:12" ht="15" customHeight="1">
      <c r="B12" s="103"/>
      <c r="C12" s="18"/>
      <c r="D12" s="18" t="s">
        <v>192</v>
      </c>
      <c r="E12" s="18"/>
      <c r="F12" s="18"/>
      <c r="G12" s="18"/>
      <c r="H12" s="18"/>
      <c r="I12" s="18"/>
      <c r="J12" s="18"/>
      <c r="K12" s="18"/>
    </row>
    <row r="13" spans="1:12" ht="15" customHeight="1">
      <c r="B13" s="103"/>
      <c r="C13" s="18" t="s">
        <v>170</v>
      </c>
      <c r="D13" s="18" t="s">
        <v>171</v>
      </c>
      <c r="E13" s="18" t="s">
        <v>193</v>
      </c>
      <c r="F13" s="18" t="s">
        <v>173</v>
      </c>
      <c r="G13" s="18" t="s">
        <v>174</v>
      </c>
      <c r="H13" s="18" t="s">
        <v>175</v>
      </c>
      <c r="I13" s="18" t="s">
        <v>176</v>
      </c>
      <c r="J13" s="18" t="s">
        <v>82</v>
      </c>
      <c r="K13" s="18"/>
    </row>
    <row r="14" spans="1:12" ht="15" customHeight="1">
      <c r="B14" s="103"/>
      <c r="C14" s="18" t="s">
        <v>194</v>
      </c>
      <c r="D14" s="18" t="s">
        <v>173</v>
      </c>
      <c r="E14" s="18" t="s">
        <v>195</v>
      </c>
      <c r="F14" s="18" t="s">
        <v>163</v>
      </c>
      <c r="G14" s="18" t="s">
        <v>163</v>
      </c>
      <c r="H14" s="18" t="s">
        <v>179</v>
      </c>
      <c r="I14" s="18" t="s">
        <v>194</v>
      </c>
      <c r="J14" s="18" t="s">
        <v>86</v>
      </c>
      <c r="K14" s="18"/>
    </row>
    <row r="15" spans="1:12" ht="15" customHeight="1">
      <c r="B15" s="9" t="s">
        <v>180</v>
      </c>
      <c r="C15" s="18">
        <v>0</v>
      </c>
      <c r="D15" s="18">
        <v>1500</v>
      </c>
      <c r="E15" s="18">
        <v>-1000</v>
      </c>
      <c r="F15" s="18">
        <v>0</v>
      </c>
      <c r="G15" s="18">
        <v>0</v>
      </c>
      <c r="H15" s="18">
        <v>0</v>
      </c>
      <c r="I15" s="18">
        <f>SUM(C15:H15)</f>
        <v>500</v>
      </c>
      <c r="J15" s="162">
        <v>0</v>
      </c>
      <c r="K15" s="18"/>
    </row>
    <row r="16" spans="1:12" ht="15" customHeight="1">
      <c r="B16" s="9" t="s">
        <v>227</v>
      </c>
      <c r="C16" s="113"/>
      <c r="D16" s="20"/>
      <c r="E16" s="20"/>
      <c r="F16" s="20"/>
      <c r="G16" s="20"/>
      <c r="H16" s="20"/>
      <c r="I16" s="20"/>
      <c r="J16" s="20"/>
      <c r="K16" s="18"/>
    </row>
    <row r="17" spans="1:12" ht="15" customHeight="1">
      <c r="B17" s="117" t="s">
        <v>220</v>
      </c>
      <c r="C17" s="122"/>
      <c r="D17" s="122"/>
      <c r="E17" s="122"/>
      <c r="F17" s="122"/>
      <c r="G17" s="122"/>
      <c r="H17" s="122"/>
      <c r="I17" s="118">
        <f>25%*'App C Sh1 - LRC(onerous)'!$I$44</f>
        <v>175.17786236675511</v>
      </c>
      <c r="J17" s="162">
        <f>'App D - Alternate'!G31</f>
        <v>5.2883045313949628</v>
      </c>
      <c r="K17" s="18"/>
    </row>
    <row r="18" spans="1:12" ht="15" customHeight="1">
      <c r="B18" s="163" t="s">
        <v>223</v>
      </c>
      <c r="C18" s="164"/>
      <c r="D18" s="164"/>
      <c r="E18" s="164"/>
      <c r="F18" s="164"/>
      <c r="G18" s="164"/>
      <c r="H18" s="164"/>
      <c r="I18" s="164">
        <f>SUM(I15:I17)</f>
        <v>675.17786236675511</v>
      </c>
      <c r="J18" s="178">
        <f>(I15*J15+I17*J17)/I18</f>
        <v>1.3720738415605502</v>
      </c>
      <c r="K18" s="164"/>
    </row>
    <row r="19" spans="1:12" ht="15" customHeight="1">
      <c r="C19" s="18"/>
      <c r="D19" s="18"/>
      <c r="E19" s="18"/>
      <c r="F19" s="18"/>
      <c r="G19" s="18"/>
      <c r="H19" s="18"/>
      <c r="I19" s="18"/>
      <c r="J19" s="18"/>
    </row>
    <row r="20" spans="1:12" ht="15" customHeight="1">
      <c r="A20" s="25"/>
      <c r="C20" s="18"/>
      <c r="D20" s="18"/>
      <c r="E20" s="18"/>
      <c r="F20" s="18"/>
      <c r="G20" s="18"/>
      <c r="H20" s="18"/>
      <c r="I20" s="18"/>
      <c r="J20" s="18"/>
    </row>
    <row r="21" spans="1:12" ht="15" customHeight="1">
      <c r="J21" s="3"/>
      <c r="K21" s="4"/>
    </row>
    <row r="22" spans="1:12" ht="15" customHeight="1">
      <c r="B22" s="10"/>
      <c r="C22" s="10"/>
      <c r="D22" s="14"/>
      <c r="J22" s="3"/>
      <c r="K22" s="4"/>
    </row>
    <row r="23" spans="1:12" ht="15" customHeight="1">
      <c r="B23" s="10"/>
      <c r="C23" s="24"/>
      <c r="D23" s="14"/>
      <c r="J23" s="3"/>
      <c r="K23" s="4"/>
    </row>
    <row r="24" spans="1:12" ht="15" customHeight="1">
      <c r="B24" s="10"/>
      <c r="C24" s="22"/>
      <c r="D24" s="14"/>
      <c r="J24" s="3"/>
      <c r="K24" s="4"/>
    </row>
    <row r="25" spans="1:12" ht="15" customHeight="1">
      <c r="J25" s="3"/>
      <c r="K25" s="4"/>
    </row>
    <row r="26" spans="1:12" ht="15" customHeight="1">
      <c r="E26" s="13"/>
      <c r="F26" s="13"/>
      <c r="G26" s="13"/>
      <c r="H26" s="13"/>
      <c r="I26" s="13"/>
      <c r="J26" s="13"/>
      <c r="K26" s="4"/>
    </row>
    <row r="27" spans="1:12" ht="15" customHeight="1">
      <c r="E27" s="13"/>
      <c r="F27" s="13"/>
      <c r="G27" s="13"/>
      <c r="H27" s="13"/>
      <c r="I27" s="13"/>
      <c r="J27" s="13"/>
      <c r="K27" s="4"/>
    </row>
    <row r="29" spans="1:12" ht="15" customHeight="1">
      <c r="E29" s="11"/>
      <c r="F29" s="11"/>
      <c r="G29" s="11"/>
      <c r="H29" s="11"/>
      <c r="I29" s="11"/>
      <c r="J29" s="11"/>
      <c r="K29" s="11"/>
      <c r="L29" s="11"/>
    </row>
    <row r="31" spans="1:12" ht="15" customHeight="1">
      <c r="A31" s="1" t="s">
        <v>231</v>
      </c>
    </row>
    <row r="32" spans="1:12" ht="15" customHeight="1">
      <c r="B32" s="2" t="s">
        <v>186</v>
      </c>
    </row>
    <row r="33" spans="2:11" ht="15" customHeight="1">
      <c r="B33" s="2" t="s">
        <v>229</v>
      </c>
    </row>
    <row r="34" spans="2:11" ht="15" customHeight="1">
      <c r="B34" s="2" t="s">
        <v>230</v>
      </c>
    </row>
    <row r="35" spans="2:11" ht="15" customHeight="1">
      <c r="J35" s="2" t="s">
        <v>144</v>
      </c>
      <c r="K35" s="2" t="s">
        <v>144</v>
      </c>
    </row>
  </sheetData>
  <printOptions horizontalCentered="1"/>
  <pageMargins left="0.5" right="0.39370078740157499" top="0.59055118110236204" bottom="0.74803149606299202" header="0.31496062992126" footer="0.31496062992126"/>
  <pageSetup scale="66" fitToHeight="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5"/>
  <sheetViews>
    <sheetView view="pageBreakPreview" zoomScale="85" zoomScaleNormal="85" zoomScaleSheetLayoutView="85" workbookViewId="0">
      <selection activeCell="E44" sqref="E44"/>
    </sheetView>
  </sheetViews>
  <sheetFormatPr defaultColWidth="9.140625" defaultRowHeight="15" customHeight="1"/>
  <cols>
    <col min="1" max="1" width="3.7109375" style="126" customWidth="1"/>
    <col min="2" max="2" width="5.7109375" style="2" customWidth="1"/>
    <col min="3" max="3" width="24.85546875" style="2" bestFit="1" customWidth="1"/>
    <col min="4" max="13" width="10.28515625" style="2" customWidth="1"/>
    <col min="14" max="14" width="3.140625" style="2" customWidth="1"/>
    <col min="15" max="16384" width="9.140625" style="2"/>
  </cols>
  <sheetData>
    <row r="1" spans="1:17" ht="15" customHeight="1">
      <c r="A1" s="1" t="s">
        <v>196</v>
      </c>
      <c r="M1" s="3" t="s">
        <v>0</v>
      </c>
      <c r="N1" s="4" t="s">
        <v>197</v>
      </c>
    </row>
    <row r="2" spans="1:17" ht="15" customHeight="1">
      <c r="M2" s="3" t="s">
        <v>2</v>
      </c>
      <c r="N2" s="4">
        <v>1</v>
      </c>
    </row>
    <row r="3" spans="1:17" ht="15" customHeight="1">
      <c r="B3" s="5" t="s">
        <v>94</v>
      </c>
    </row>
    <row r="4" spans="1:17" ht="15" customHeight="1">
      <c r="B4" s="2" t="s">
        <v>198</v>
      </c>
    </row>
    <row r="5" spans="1:17" ht="15" customHeight="1">
      <c r="A5" s="131"/>
      <c r="B5" s="2" t="s">
        <v>199</v>
      </c>
      <c r="C5" s="131"/>
      <c r="D5" s="15">
        <f>'App C Sh1 - LRC(onerous)'!E7</f>
        <v>0.1</v>
      </c>
      <c r="E5" s="131"/>
      <c r="F5" s="131"/>
      <c r="G5" s="131"/>
      <c r="H5" s="131"/>
      <c r="I5" s="131"/>
    </row>
    <row r="6" spans="1:17" ht="15" customHeight="1">
      <c r="A6" s="131"/>
      <c r="B6" s="131"/>
      <c r="C6" s="131"/>
      <c r="D6" s="131"/>
      <c r="E6" s="131"/>
      <c r="F6" s="131"/>
      <c r="G6" s="131"/>
      <c r="H6" s="131"/>
      <c r="I6" s="131"/>
    </row>
    <row r="8" spans="1:17" ht="15" customHeight="1">
      <c r="A8" s="131"/>
      <c r="B8" s="7" t="s">
        <v>200</v>
      </c>
    </row>
    <row r="9" spans="1:17" ht="15" customHeight="1">
      <c r="D9" s="13" t="s">
        <v>165</v>
      </c>
      <c r="E9" s="13">
        <f>'App C Sh1 - LRC(onerous)'!D33</f>
        <v>0.125</v>
      </c>
      <c r="F9" s="13">
        <f>'App C Sh1 - LRC(onerous)'!E33</f>
        <v>0.375</v>
      </c>
      <c r="G9" s="13">
        <f>'App C Sh1 - LRC(onerous)'!F33</f>
        <v>0.625</v>
      </c>
      <c r="H9" s="13">
        <f>'App C Sh1 - LRC(onerous)'!G33</f>
        <v>0.875</v>
      </c>
      <c r="I9" s="13">
        <f>'App C Sh1 - LRC(onerous)'!H33</f>
        <v>1.5</v>
      </c>
      <c r="J9" s="13">
        <f>'App C Sh1 - LRC(onerous)'!I33</f>
        <v>2.5</v>
      </c>
      <c r="K9" s="13">
        <f>'App C Sh1 - LRC(onerous)'!J33</f>
        <v>3.5</v>
      </c>
      <c r="L9" s="13">
        <f>'App C Sh1 - LRC(onerous)'!K33</f>
        <v>4.5</v>
      </c>
      <c r="M9" s="13">
        <f>'App C Sh1 - LRC(onerous)'!L33</f>
        <v>5.5</v>
      </c>
    </row>
    <row r="10" spans="1:17" ht="15" customHeight="1">
      <c r="C10" s="104" t="s">
        <v>201</v>
      </c>
      <c r="D10" s="135"/>
      <c r="E10" s="18">
        <f>'App C Sh1 - LRC(onerous)'!D34</f>
        <v>91.25</v>
      </c>
      <c r="F10" s="18">
        <f>'App C Sh1 - LRC(onerous)'!E34</f>
        <v>191.25</v>
      </c>
      <c r="G10" s="18">
        <f>'App C Sh1 - LRC(onerous)'!F34</f>
        <v>191.25</v>
      </c>
      <c r="H10" s="18">
        <f>'App C Sh1 - LRC(onerous)'!G34</f>
        <v>191.25</v>
      </c>
      <c r="I10" s="18">
        <f>'App C Sh1 - LRC(onerous)'!H34</f>
        <v>735</v>
      </c>
      <c r="J10" s="18">
        <f>'App C Sh1 - LRC(onerous)'!I34</f>
        <v>210</v>
      </c>
      <c r="K10" s="18">
        <f>'App C Sh1 - LRC(onerous)'!J34</f>
        <v>105</v>
      </c>
      <c r="L10" s="18">
        <f>'App C Sh1 - LRC(onerous)'!K34</f>
        <v>210</v>
      </c>
      <c r="M10" s="18">
        <f>'App C Sh1 - LRC(onerous)'!L34</f>
        <v>105</v>
      </c>
      <c r="N10" s="18"/>
      <c r="O10" s="18"/>
      <c r="P10" s="18"/>
      <c r="Q10" s="18"/>
    </row>
    <row r="11" spans="1:17" ht="15" customHeight="1">
      <c r="C11" s="121" t="s">
        <v>167</v>
      </c>
      <c r="D11" s="136"/>
      <c r="E11" s="123">
        <f>'App C Sh1 - LRC(onerous)'!D35</f>
        <v>0.99631196727989746</v>
      </c>
      <c r="F11" s="123">
        <f>'App C Sh1 - LRC(onerous)'!E35</f>
        <v>0.98897665643263422</v>
      </c>
      <c r="G11" s="123">
        <f>'App C Sh1 - LRC(onerous)'!F35</f>
        <v>0.98169535154634824</v>
      </c>
      <c r="H11" s="123">
        <f>'App C Sh1 - LRC(onerous)'!G35</f>
        <v>0.97446765500410359</v>
      </c>
      <c r="I11" s="123">
        <f>'App C Sh1 - LRC(onerous)'!H35</f>
        <v>0.95385081269156691</v>
      </c>
      <c r="J11" s="123">
        <f>'App C Sh1 - LRC(onerous)'!I35</f>
        <v>0.91981111461828291</v>
      </c>
      <c r="K11" s="123">
        <f>'App C Sh1 - LRC(onerous)'!J35</f>
        <v>0.88356978493601701</v>
      </c>
      <c r="L11" s="123">
        <f>'App C Sh1 - LRC(onerous)'!K35</f>
        <v>0.84549668505199849</v>
      </c>
      <c r="M11" s="123">
        <f>'App C Sh1 - LRC(onerous)'!L35</f>
        <v>0.80596583771476804</v>
      </c>
    </row>
    <row r="12" spans="1:17" ht="15" customHeight="1">
      <c r="C12" s="2" t="s">
        <v>202</v>
      </c>
      <c r="D12" s="127">
        <f>SUM(E12:M12)</f>
        <v>1903.3676531971987</v>
      </c>
      <c r="E12" s="127">
        <f>E10*E11</f>
        <v>90.913467014290646</v>
      </c>
      <c r="F12" s="127">
        <f t="shared" ref="F12:M12" si="0">F10*F11</f>
        <v>189.1417855427413</v>
      </c>
      <c r="G12" s="127">
        <f t="shared" si="0"/>
        <v>187.74923598323909</v>
      </c>
      <c r="H12" s="127">
        <f t="shared" si="0"/>
        <v>186.36693901953481</v>
      </c>
      <c r="I12" s="127">
        <f t="shared" si="0"/>
        <v>701.08034732830163</v>
      </c>
      <c r="J12" s="127">
        <f t="shared" si="0"/>
        <v>193.16033406983942</v>
      </c>
      <c r="K12" s="127">
        <f t="shared" si="0"/>
        <v>92.774827418281788</v>
      </c>
      <c r="L12" s="127">
        <f t="shared" si="0"/>
        <v>177.55430386091967</v>
      </c>
      <c r="M12" s="127">
        <f t="shared" si="0"/>
        <v>84.626412960050644</v>
      </c>
    </row>
    <row r="13" spans="1:17" ht="15" customHeight="1">
      <c r="C13" s="129" t="s">
        <v>115</v>
      </c>
      <c r="D13" s="128">
        <f>SUM(E13:M13)</f>
        <v>197.34379626982167</v>
      </c>
      <c r="E13" s="128">
        <f>'App C Sh1 - LRC(onerous)'!D37</f>
        <v>18.307232398768118</v>
      </c>
      <c r="F13" s="128">
        <f>'App C Sh1 - LRC(onerous)'!E37</f>
        <v>18.172446061949653</v>
      </c>
      <c r="G13" s="128">
        <f>'App C Sh1 - LRC(onerous)'!F37</f>
        <v>18.03865208466415</v>
      </c>
      <c r="H13" s="128">
        <f>'App C Sh1 - LRC(onerous)'!G37</f>
        <v>17.905843160700403</v>
      </c>
      <c r="I13" s="128">
        <f>'App C Sh1 - LRC(onerous)'!H37</f>
        <v>70.108034732830163</v>
      </c>
      <c r="J13" s="128">
        <f>'App C Sh1 - LRC(onerous)'!I37</f>
        <v>19.316033406983944</v>
      </c>
      <c r="K13" s="128">
        <f>'App C Sh1 - LRC(onerous)'!J37</f>
        <v>9.2774827418281784</v>
      </c>
      <c r="L13" s="128">
        <f>'App C Sh1 - LRC(onerous)'!K37</f>
        <v>17.75543038609197</v>
      </c>
      <c r="M13" s="128">
        <f>'App C Sh1 - LRC(onerous)'!L37</f>
        <v>8.4626412960050654</v>
      </c>
    </row>
    <row r="14" spans="1:17" ht="15" customHeight="1">
      <c r="C14" s="2" t="s">
        <v>228</v>
      </c>
      <c r="D14" s="146">
        <f>SUM(D12:D13)</f>
        <v>2100.7114494670204</v>
      </c>
      <c r="E14" s="127">
        <f t="shared" ref="E14:M14" si="1">SUM(E12:E13)</f>
        <v>109.22069941305877</v>
      </c>
      <c r="F14" s="127">
        <f t="shared" si="1"/>
        <v>207.31423160469095</v>
      </c>
      <c r="G14" s="127">
        <f t="shared" si="1"/>
        <v>205.78788806790322</v>
      </c>
      <c r="H14" s="127">
        <f t="shared" si="1"/>
        <v>204.27278218023523</v>
      </c>
      <c r="I14" s="127">
        <f t="shared" si="1"/>
        <v>771.18838206113173</v>
      </c>
      <c r="J14" s="127">
        <f t="shared" si="1"/>
        <v>212.47636747682336</v>
      </c>
      <c r="K14" s="127">
        <f t="shared" si="1"/>
        <v>102.05231016010997</v>
      </c>
      <c r="L14" s="127">
        <f t="shared" si="1"/>
        <v>195.30973424701165</v>
      </c>
      <c r="M14" s="127">
        <f t="shared" si="1"/>
        <v>93.089054256055704</v>
      </c>
    </row>
    <row r="15" spans="1:17" ht="15" customHeight="1">
      <c r="C15" s="129" t="s">
        <v>203</v>
      </c>
      <c r="D15" s="128">
        <v>1400</v>
      </c>
      <c r="E15" s="136"/>
      <c r="F15" s="136"/>
      <c r="G15" s="136"/>
      <c r="H15" s="136"/>
      <c r="I15" s="136"/>
      <c r="J15" s="136"/>
      <c r="K15" s="136"/>
      <c r="L15" s="136"/>
      <c r="M15" s="136"/>
    </row>
    <row r="16" spans="1:17" ht="15" customHeight="1">
      <c r="C16" s="2" t="s">
        <v>181</v>
      </c>
      <c r="D16" s="147">
        <f>D14-D15</f>
        <v>700.71144946702043</v>
      </c>
      <c r="E16" s="135"/>
      <c r="F16" s="135"/>
      <c r="G16" s="135"/>
      <c r="H16" s="135"/>
      <c r="I16" s="135"/>
      <c r="J16" s="135"/>
      <c r="K16" s="135"/>
      <c r="L16" s="135"/>
      <c r="M16" s="135"/>
    </row>
    <row r="17" spans="1:14" ht="15" customHeight="1">
      <c r="M17" s="18"/>
    </row>
    <row r="18" spans="1:14" ht="15" customHeight="1">
      <c r="B18" s="7" t="s">
        <v>204</v>
      </c>
    </row>
    <row r="20" spans="1:14" ht="15" customHeight="1">
      <c r="A20" s="131"/>
      <c r="D20" s="13" t="s">
        <v>92</v>
      </c>
      <c r="E20" s="13">
        <f>E9</f>
        <v>0.125</v>
      </c>
      <c r="F20" s="13">
        <f t="shared" ref="F20:M20" si="2">F9</f>
        <v>0.375</v>
      </c>
      <c r="G20" s="13">
        <f t="shared" si="2"/>
        <v>0.625</v>
      </c>
      <c r="H20" s="13">
        <f t="shared" si="2"/>
        <v>0.875</v>
      </c>
      <c r="I20" s="13">
        <f t="shared" si="2"/>
        <v>1.5</v>
      </c>
      <c r="J20" s="13">
        <f t="shared" si="2"/>
        <v>2.5</v>
      </c>
      <c r="K20" s="13">
        <f t="shared" si="2"/>
        <v>3.5</v>
      </c>
      <c r="L20" s="13">
        <f t="shared" si="2"/>
        <v>4.5</v>
      </c>
      <c r="M20" s="13">
        <f t="shared" si="2"/>
        <v>5.5</v>
      </c>
    </row>
    <row r="21" spans="1:14" ht="15" customHeight="1">
      <c r="A21" s="131"/>
      <c r="B21" s="13" t="s">
        <v>120</v>
      </c>
      <c r="C21" s="2" t="s">
        <v>228</v>
      </c>
      <c r="D21" s="127">
        <f>SUM(E21:M21)</f>
        <v>2097.0129456201371</v>
      </c>
      <c r="E21" s="127">
        <f>SUM('App C Sh1 - LRC(onerous)'!D50:D51)</f>
        <v>109.2074517075764</v>
      </c>
      <c r="F21" s="127">
        <f>SUM('App C Sh1 - LRC(onerous)'!E50:E51)</f>
        <v>207.23880346367474</v>
      </c>
      <c r="G21" s="127">
        <f>SUM('App C Sh1 - LRC(onerous)'!F50:F51)</f>
        <v>205.66311519583292</v>
      </c>
      <c r="H21" s="127">
        <f>SUM('App C Sh1 - LRC(onerous)'!G50:G51)</f>
        <v>204.09940727856204</v>
      </c>
      <c r="I21" s="127">
        <f>SUM('App C Sh1 - LRC(onerous)'!H50:H51)</f>
        <v>770.06882487735083</v>
      </c>
      <c r="J21" s="127">
        <f>SUM('App C Sh1 - LRC(onerous)'!I50:I51)</f>
        <v>211.96351138046782</v>
      </c>
      <c r="K21" s="127">
        <f>SUM('App C Sh1 - LRC(onerous)'!J50:J51)</f>
        <v>101.70828629842391</v>
      </c>
      <c r="L21" s="127">
        <f>SUM('App C Sh1 - LRC(onerous)'!K50:K51)</f>
        <v>194.46525430500151</v>
      </c>
      <c r="M21" s="127">
        <f>SUM('App C Sh1 - LRC(onerous)'!L50:L51)</f>
        <v>92.598291113246873</v>
      </c>
    </row>
    <row r="22" spans="1:14" ht="15" customHeight="1">
      <c r="C22" s="129" t="s">
        <v>203</v>
      </c>
      <c r="D22" s="128">
        <v>1400</v>
      </c>
      <c r="E22" s="136"/>
      <c r="F22" s="136"/>
      <c r="G22" s="136"/>
      <c r="H22" s="136"/>
      <c r="I22" s="136"/>
      <c r="J22" s="136"/>
      <c r="K22" s="136"/>
      <c r="L22" s="136"/>
      <c r="M22" s="136"/>
    </row>
    <row r="23" spans="1:14" ht="15" customHeight="1">
      <c r="C23" s="2" t="s">
        <v>181</v>
      </c>
      <c r="D23" s="127">
        <f>D21-D22</f>
        <v>697.01294562013709</v>
      </c>
      <c r="E23" s="135"/>
      <c r="F23" s="135"/>
      <c r="G23" s="135"/>
      <c r="H23" s="135"/>
      <c r="I23" s="135"/>
      <c r="J23" s="135"/>
      <c r="K23" s="135"/>
      <c r="L23" s="135"/>
      <c r="M23" s="135"/>
    </row>
    <row r="24" spans="1:14" ht="15" customHeight="1">
      <c r="M24" s="4"/>
    </row>
    <row r="25" spans="1:14" ht="15" customHeight="1">
      <c r="D25" s="13" t="s">
        <v>92</v>
      </c>
      <c r="E25" s="13">
        <f>E20</f>
        <v>0.125</v>
      </c>
      <c r="F25" s="13">
        <f t="shared" ref="F25:M25" si="3">F20</f>
        <v>0.375</v>
      </c>
      <c r="G25" s="13">
        <f t="shared" si="3"/>
        <v>0.625</v>
      </c>
      <c r="H25" s="13">
        <f t="shared" si="3"/>
        <v>0.875</v>
      </c>
      <c r="I25" s="13">
        <f t="shared" si="3"/>
        <v>1.5</v>
      </c>
      <c r="J25" s="13">
        <f t="shared" si="3"/>
        <v>2.5</v>
      </c>
      <c r="K25" s="13">
        <f t="shared" si="3"/>
        <v>3.5</v>
      </c>
      <c r="L25" s="13">
        <f t="shared" si="3"/>
        <v>4.5</v>
      </c>
      <c r="M25" s="13">
        <f t="shared" si="3"/>
        <v>5.5</v>
      </c>
    </row>
    <row r="26" spans="1:14" ht="15" customHeight="1">
      <c r="B26" s="13" t="s">
        <v>218</v>
      </c>
      <c r="C26" s="2" t="s">
        <v>228</v>
      </c>
      <c r="D26" s="127">
        <f>SUM(E26:M26)</f>
        <v>2104.4240966869706</v>
      </c>
      <c r="E26" s="127">
        <f>SUM('App C Sh1 - LRC(onerous)'!D54:D55)</f>
        <v>109.23396159603089</v>
      </c>
      <c r="F26" s="127">
        <f>SUM('App C Sh1 - LRC(onerous)'!E54:E55)</f>
        <v>207.38976050588059</v>
      </c>
      <c r="G26" s="127">
        <f>SUM('App C Sh1 - LRC(onerous)'!F54:F55)</f>
        <v>205.91285794579889</v>
      </c>
      <c r="H26" s="127">
        <f>SUM('App C Sh1 - LRC(onerous)'!G54:G55)</f>
        <v>204.44647297909617</v>
      </c>
      <c r="I26" s="127">
        <f>SUM('App C Sh1 - LRC(onerous)'!H54:H55)</f>
        <v>772.31065463911705</v>
      </c>
      <c r="J26" s="127">
        <f>SUM('App C Sh1 - LRC(onerous)'!I54:I55)</f>
        <v>212.99096248854943</v>
      </c>
      <c r="K26" s="127">
        <f>SUM('App C Sh1 - LRC(onerous)'!J54:J55)</f>
        <v>102.39783158476698</v>
      </c>
      <c r="L26" s="127">
        <f>SUM('App C Sh1 - LRC(onerous)'!K54:K55)</f>
        <v>196.15870067198421</v>
      </c>
      <c r="M26" s="127">
        <f>SUM('App C Sh1 - LRC(onerous)'!L54:L55)</f>
        <v>93.582894275746526</v>
      </c>
      <c r="N26" s="11"/>
    </row>
    <row r="27" spans="1:14" ht="15" customHeight="1">
      <c r="C27" s="129" t="s">
        <v>203</v>
      </c>
      <c r="D27" s="128">
        <v>1400</v>
      </c>
      <c r="E27" s="136"/>
      <c r="F27" s="136"/>
      <c r="G27" s="136"/>
      <c r="H27" s="136"/>
      <c r="I27" s="136"/>
      <c r="J27" s="136"/>
      <c r="K27" s="136"/>
      <c r="L27" s="136"/>
      <c r="M27" s="136"/>
    </row>
    <row r="28" spans="1:14" ht="15" customHeight="1">
      <c r="C28" s="2" t="s">
        <v>181</v>
      </c>
      <c r="D28" s="127">
        <f>D26-D27</f>
        <v>704.42409668697064</v>
      </c>
      <c r="E28" s="135"/>
      <c r="F28" s="135"/>
      <c r="G28" s="135"/>
      <c r="H28" s="135"/>
      <c r="I28" s="135"/>
      <c r="J28" s="135"/>
      <c r="K28" s="135"/>
      <c r="L28" s="135"/>
      <c r="M28" s="135"/>
    </row>
    <row r="30" spans="1:14" ht="15" customHeight="1">
      <c r="C30" s="129"/>
      <c r="D30" s="133">
        <v>0</v>
      </c>
      <c r="E30" s="134">
        <f>'App C Sh1 - LRC(onerous)'!$N$50</f>
        <v>1E-3</v>
      </c>
      <c r="F30" s="134">
        <f>-E30</f>
        <v>-1E-3</v>
      </c>
      <c r="G30" s="119" t="s">
        <v>205</v>
      </c>
      <c r="M30" s="2" t="s">
        <v>144</v>
      </c>
    </row>
    <row r="31" spans="1:14" ht="15" customHeight="1">
      <c r="C31" s="2" t="s">
        <v>206</v>
      </c>
      <c r="D31" s="132">
        <f>D16</f>
        <v>700.71144946702043</v>
      </c>
      <c r="E31" s="132">
        <f>D23</f>
        <v>697.01294562013709</v>
      </c>
      <c r="F31" s="132">
        <f>D28</f>
        <v>704.42409668697064</v>
      </c>
      <c r="G31" s="152">
        <f>(F31-E31)/(2*D31*$E$30)</f>
        <v>5.2883045313949628</v>
      </c>
    </row>
    <row r="32" spans="1:14" ht="15" customHeight="1">
      <c r="C32" s="2" t="s">
        <v>207</v>
      </c>
      <c r="D32" s="127">
        <f>D14</f>
        <v>2100.7114494670204</v>
      </c>
      <c r="E32" s="127">
        <f>D21</f>
        <v>2097.0129456201371</v>
      </c>
      <c r="F32" s="127">
        <f>D26</f>
        <v>2104.4240966869706</v>
      </c>
      <c r="G32" s="153">
        <f>(F32-E32)/(2*D32*$E$30)</f>
        <v>1.763962173080426</v>
      </c>
    </row>
    <row r="33" spans="1:7" ht="15" customHeight="1">
      <c r="E33" s="127"/>
      <c r="F33" s="132"/>
      <c r="G33" s="132"/>
    </row>
    <row r="35" spans="1:7" ht="15" customHeight="1">
      <c r="A35" s="131"/>
      <c r="B35" s="7" t="s">
        <v>208</v>
      </c>
    </row>
    <row r="36" spans="1:7" ht="15" customHeight="1">
      <c r="C36" s="5" t="s">
        <v>209</v>
      </c>
    </row>
    <row r="37" spans="1:7" ht="15" customHeight="1">
      <c r="D37" s="13" t="s">
        <v>210</v>
      </c>
      <c r="E37" s="13" t="s">
        <v>86</v>
      </c>
    </row>
    <row r="38" spans="1:7" ht="15" customHeight="1">
      <c r="C38" s="2" t="s">
        <v>211</v>
      </c>
      <c r="D38" s="127">
        <f>D22</f>
        <v>1400</v>
      </c>
      <c r="E38" s="154">
        <v>0</v>
      </c>
    </row>
    <row r="39" spans="1:7" ht="15" customHeight="1">
      <c r="C39" s="129" t="s">
        <v>212</v>
      </c>
      <c r="D39" s="148">
        <f>D16</f>
        <v>700.71144946702043</v>
      </c>
      <c r="E39" s="155">
        <f>G31</f>
        <v>5.2883045313949628</v>
      </c>
    </row>
    <row r="40" spans="1:7" ht="15" customHeight="1">
      <c r="C40" s="2" t="s">
        <v>213</v>
      </c>
      <c r="D40" s="127">
        <f>SUM(D38:D39)</f>
        <v>2100.7114494670204</v>
      </c>
      <c r="E40" s="154">
        <f>SUMPRODUCT(D38:D39,E38:E39)/SUM(D38:D39)</f>
        <v>1.7639621730804258</v>
      </c>
    </row>
    <row r="41" spans="1:7" ht="15" customHeight="1">
      <c r="C41" s="1"/>
    </row>
    <row r="42" spans="1:7" ht="15" customHeight="1">
      <c r="C42" s="2" t="s">
        <v>214</v>
      </c>
    </row>
    <row r="43" spans="1:7" ht="15" customHeight="1">
      <c r="D43" s="13" t="s">
        <v>210</v>
      </c>
      <c r="E43" s="13" t="s">
        <v>86</v>
      </c>
    </row>
    <row r="44" spans="1:7" ht="15" customHeight="1">
      <c r="C44" s="129" t="s">
        <v>215</v>
      </c>
      <c r="D44" s="130">
        <f>D14</f>
        <v>2100.7114494670204</v>
      </c>
      <c r="E44" s="156">
        <f>G32</f>
        <v>1.763962173080426</v>
      </c>
    </row>
    <row r="45" spans="1:7" ht="15" customHeight="1">
      <c r="C45" s="2" t="s">
        <v>213</v>
      </c>
      <c r="D45" s="127">
        <f>SUM(D44:D44)</f>
        <v>2100.7114494670204</v>
      </c>
      <c r="E45" s="154">
        <f>SUMPRODUCT(D44:D44,E44:E44)/SUM(D44:D44)</f>
        <v>1.763962173080426</v>
      </c>
    </row>
  </sheetData>
  <pageMargins left="0.45" right="0.45" top="0.75" bottom="0.75" header="0.3" footer="0.3"/>
  <pageSetup scale="6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3BD1B9A97FEF4C9D9E223D1A7F8B4B" ma:contentTypeVersion="5" ma:contentTypeDescription="Create a new document." ma:contentTypeScope="" ma:versionID="8553ec2aed73abd1266b4433f30cf9d0">
  <xsd:schema xmlns:xsd="http://www.w3.org/2001/XMLSchema" xmlns:xs="http://www.w3.org/2001/XMLSchema" xmlns:p="http://schemas.microsoft.com/office/2006/metadata/properties" xmlns:ns2="1a4794d6-3276-44b8-90d1-60dd3ac3c06a" targetNamespace="http://schemas.microsoft.com/office/2006/metadata/properties" ma:root="true" ma:fieldsID="397af15bb7c4f922b36f526ab95cf0e4" ns2:_="">
    <xsd:import namespace="1a4794d6-3276-44b8-90d1-60dd3ac3c0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4794d6-3276-44b8-90d1-60dd3ac3c0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0DFDD1-3AB0-43A0-AAD7-D80DFFD22B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552707-43C1-49B3-8DA0-5C666E31D4D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864C4AF-386C-41DA-95A9-ED945B9CA4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4794d6-3276-44b8-90d1-60dd3ac3c0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App A - IRR</vt:lpstr>
      <vt:lpstr>App B Sh1 - LIC</vt:lpstr>
      <vt:lpstr>App B Sh2 - AIC</vt:lpstr>
      <vt:lpstr>App C Sh1 - LRC(onerous)</vt:lpstr>
      <vt:lpstr>App C Sh2 - LRC (non onerous)</vt:lpstr>
      <vt:lpstr>App C Sh3 - ARC</vt:lpstr>
      <vt:lpstr>App D - Alternate</vt:lpstr>
      <vt:lpstr>'App A - IRR'!Print_Area</vt:lpstr>
      <vt:lpstr>'App B Sh1 - LIC'!Print_Area</vt:lpstr>
      <vt:lpstr>'App B Sh2 - AIC'!Print_Area</vt:lpstr>
      <vt:lpstr>'App C Sh1 - LRC(onerous)'!Print_Area</vt:lpstr>
      <vt:lpstr>'App C Sh2 - LRC (non onerous)'!Print_Area</vt:lpstr>
      <vt:lpstr>'App C Sh3 - ARC'!Print_Area</vt:lpstr>
      <vt:lpstr>'App D - Alternate'!Print_Area</vt:lpstr>
      <vt:lpstr>'App B Sh1 - LIC'!Print_Titles</vt:lpstr>
      <vt:lpstr>'App B Sh2 - AIC'!Print_Titles</vt:lpstr>
      <vt:lpstr>'App C Sh1 - LRC(onerous)'!Print_Titles</vt:lpstr>
      <vt:lpstr>'App C Sh2 - LRC (non onerous)'!Print_Titles</vt:lpstr>
      <vt:lpstr>'App C Sh3 - ARC'!Print_Titles</vt:lpstr>
    </vt:vector>
  </TitlesOfParts>
  <Manager/>
  <Company>PricewaterhouseCoopers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BennyCyChan</dc:creator>
  <cp:keywords/>
  <dc:description/>
  <cp:lastModifiedBy>Mamane, David</cp:lastModifiedBy>
  <cp:revision/>
  <dcterms:created xsi:type="dcterms:W3CDTF">2012-07-16T16:24:05Z</dcterms:created>
  <dcterms:modified xsi:type="dcterms:W3CDTF">2023-08-08T18:52:54Z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{DFDC3A3B-450E-4575-8547-AB642D7A62C9}</vt:lpwstr>
  </property>
  <property fmtid="{D5CDD505-2E9C-101B-9397-08002B2CF9AE}" pid="3" name="ContentTypeId">
    <vt:lpwstr>0x010100683BD1B9A97FEF4C9D9E223D1A7F8B4B</vt:lpwstr>
  </property>
</Properties>
</file>